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trlProps/ctrlProp1.xml" ContentType="application/vnd.ms-excel.controlproperties+xml"/>
  <Override PartName="/xl/ctrlProps/ctrlProp2.xml" ContentType="application/vnd.ms-excel.contro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5 - Statistik\1.Daten\03 ARBEIT, ERWERB\Arbeit und Erwerb - Strukturerhebung\2023\"/>
    </mc:Choice>
  </mc:AlternateContent>
  <workbookProtection lockStructure="1"/>
  <bookViews>
    <workbookView xWindow="-105" yWindow="0" windowWidth="14610" windowHeight="15585"/>
  </bookViews>
  <sheets>
    <sheet name="Schweiz" sheetId="1" r:id="rId1"/>
    <sheet name="Graubünden" sheetId="3" r:id="rId2"/>
    <sheet name="Uebersetzungen" sheetId="2" state="hidden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3" l="1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A43" i="3"/>
  <c r="A32" i="3"/>
  <c r="A27" i="3"/>
  <c r="A22" i="3"/>
  <c r="A18" i="3"/>
  <c r="A15" i="3"/>
  <c r="A16" i="3"/>
  <c r="A53" i="3" l="1"/>
  <c r="A52" i="3"/>
  <c r="A50" i="3"/>
  <c r="A49" i="3"/>
  <c r="A48" i="3"/>
  <c r="A47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Y13" i="3"/>
  <c r="W13" i="3"/>
  <c r="U13" i="3"/>
  <c r="S13" i="3"/>
  <c r="Q13" i="3"/>
  <c r="O13" i="3"/>
  <c r="M13" i="3"/>
  <c r="K13" i="3"/>
  <c r="I13" i="3"/>
  <c r="G13" i="3"/>
  <c r="E13" i="3"/>
  <c r="C13" i="3"/>
  <c r="A10" i="3"/>
  <c r="A7" i="3"/>
  <c r="Y13" i="1" l="1"/>
  <c r="W13" i="1"/>
  <c r="U13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A49" i="1"/>
  <c r="I14" i="1"/>
  <c r="E14" i="1"/>
  <c r="C14" i="1"/>
  <c r="B17" i="1" l="1"/>
  <c r="B16" i="1"/>
  <c r="A16" i="1"/>
  <c r="A43" i="1"/>
  <c r="A15" i="1"/>
  <c r="A48" i="1"/>
  <c r="A44" i="1"/>
  <c r="S13" i="1"/>
  <c r="Q13" i="1"/>
  <c r="O13" i="1"/>
  <c r="M13" i="1"/>
  <c r="K13" i="1"/>
  <c r="I13" i="1"/>
  <c r="G13" i="1"/>
  <c r="E13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H14" i="1"/>
  <c r="G14" i="1"/>
  <c r="F14" i="1"/>
  <c r="D14" i="1"/>
  <c r="C13" i="1"/>
  <c r="A10" i="1"/>
  <c r="A9" i="1"/>
  <c r="A7" i="1"/>
  <c r="A45" i="1" l="1"/>
  <c r="A46" i="1"/>
</calcChain>
</file>

<file path=xl/sharedStrings.xml><?xml version="1.0" encoding="utf-8"?>
<sst xmlns="http://schemas.openxmlformats.org/spreadsheetml/2006/main" count="587" uniqueCount="344">
  <si>
    <t>Anzahl Personen</t>
  </si>
  <si>
    <t>Vertrauens- intervall:        ± (in %)</t>
  </si>
  <si>
    <t>Tabelle</t>
  </si>
  <si>
    <t>Code</t>
  </si>
  <si>
    <t>DE</t>
  </si>
  <si>
    <t>RM</t>
  </si>
  <si>
    <t>IT</t>
  </si>
  <si>
    <t>Sprache</t>
  </si>
  <si>
    <t>&lt;Fachbereich&gt;</t>
  </si>
  <si>
    <t>Daten &amp; Statistik</t>
  </si>
  <si>
    <t>Datas &amp; Statistica</t>
  </si>
  <si>
    <t>Dati &amp; Statistica</t>
  </si>
  <si>
    <t>T1</t>
  </si>
  <si>
    <t>&lt;Titel&gt;</t>
  </si>
  <si>
    <t>&lt;UTitel&gt;</t>
  </si>
  <si>
    <t>Ständige schweizerische Wohnbevölkerung ab 15 Jahren</t>
  </si>
  <si>
    <t>Populaziun residenta permanenta da la Svizra a partir da 15 onns</t>
  </si>
  <si>
    <t>Popolazione residente permanente svizzera di 15 anni e più</t>
  </si>
  <si>
    <t>T1-2</t>
  </si>
  <si>
    <t>&lt;SpaltenTitel_1&gt;</t>
  </si>
  <si>
    <t>Total</t>
  </si>
  <si>
    <t>Totale</t>
  </si>
  <si>
    <t>&lt;SpaltenTitel_2&gt;</t>
  </si>
  <si>
    <t>Erwerbspersonen</t>
  </si>
  <si>
    <t>Persunas cun gudogn</t>
  </si>
  <si>
    <t>&lt;SpaltenTitel_3&gt;</t>
  </si>
  <si>
    <t>Erwerbstätige</t>
  </si>
  <si>
    <t>Persunas cun activitad da gudogn</t>
  </si>
  <si>
    <t>&lt;SpaltenTitel_4&gt;</t>
  </si>
  <si>
    <t>Vollzeiterwerbstätige (90-100%)</t>
  </si>
  <si>
    <t>Persunas cun activitad da gudogn a temp cumplain (90-100%)</t>
  </si>
  <si>
    <t>&lt;SpaltenTitel_5&gt;</t>
  </si>
  <si>
    <t>Teilzeiterwerbstätige I (70-89%)</t>
  </si>
  <si>
    <t>Persunas cun activitad da gudogn a temp parzial I (70-89%)</t>
  </si>
  <si>
    <t>&lt;SpaltenTitel_6&gt;</t>
  </si>
  <si>
    <t>Teilzeiterwerbstätige II (50-69%)</t>
  </si>
  <si>
    <t>Persunas cun activitad da gudogn a temp parzial II (50-69%)</t>
  </si>
  <si>
    <t>&lt;SpaltenTitel_7&gt;</t>
  </si>
  <si>
    <t>Teilzeiterwerbstätige III (weniger als 50%)</t>
  </si>
  <si>
    <t>Persunas cun activitad da gudogn a temp parzial III (main che 50%)</t>
  </si>
  <si>
    <t>&lt;SpaltenTitel_8&gt;</t>
  </si>
  <si>
    <t>Erwerbslose</t>
  </si>
  <si>
    <t>Persunas senza activitad da gudogn</t>
  </si>
  <si>
    <t>&lt;SpaltenTitel_9&gt;</t>
  </si>
  <si>
    <t>Nichterwerbspersonen in Ausbildung</t>
  </si>
  <si>
    <t>Persunas senza activitad da gudogn en scolaziun</t>
  </si>
  <si>
    <t>&lt;SpaltenTitel_10&gt;</t>
  </si>
  <si>
    <t>Hausfrauen/Hausmänner</t>
  </si>
  <si>
    <t>Chasarinas/chasarin</t>
  </si>
  <si>
    <t>&lt;SpaltenTitel_11&gt;</t>
  </si>
  <si>
    <t>Rentner/innen (AHV, IV)</t>
  </si>
  <si>
    <t>Pensiunads (AVS, AI)</t>
  </si>
  <si>
    <t>&lt;SpaltenTitel_12&gt;</t>
  </si>
  <si>
    <t>Andere Nichterwerbspersonen</t>
  </si>
  <si>
    <t>Autras persunas senza lavur</t>
  </si>
  <si>
    <t>&lt;SpaltenTitel_1.1&gt;</t>
  </si>
  <si>
    <t>Dumber da persunas</t>
  </si>
  <si>
    <t>Numero di persone</t>
  </si>
  <si>
    <t>&lt;SpaltenTitel_1.2&gt;</t>
  </si>
  <si>
    <t>Vertrauens- intervall:          ± (in %)</t>
  </si>
  <si>
    <t>Interval da confidenza:          ± (en %)</t>
  </si>
  <si>
    <t>Intervallo di confidenza:          ± (in %)</t>
  </si>
  <si>
    <t>&lt;Zeilentitel_1&gt;</t>
  </si>
  <si>
    <t>&lt;Zeilentitel_2&gt;</t>
  </si>
  <si>
    <t>Kanton</t>
  </si>
  <si>
    <t>Chantun</t>
  </si>
  <si>
    <t>Cantone</t>
  </si>
  <si>
    <t>&lt;Zeilentitel_2.1&gt;</t>
  </si>
  <si>
    <t>Zürich</t>
  </si>
  <si>
    <t>Turitg</t>
  </si>
  <si>
    <t>Zurigo</t>
  </si>
  <si>
    <t>&lt;Zeilentitel_2.2&gt;</t>
  </si>
  <si>
    <t>Bern</t>
  </si>
  <si>
    <t>Berna</t>
  </si>
  <si>
    <t>&lt;Zeilentitel_2.3&gt;</t>
  </si>
  <si>
    <t>Luzern</t>
  </si>
  <si>
    <t>Lucerna</t>
  </si>
  <si>
    <t>&lt;Zeilentitel_2.4&gt;</t>
  </si>
  <si>
    <t>Uri</t>
  </si>
  <si>
    <t>&lt;Zeilentitel_2.5&gt;</t>
  </si>
  <si>
    <t>Schwyz</t>
  </si>
  <si>
    <t>Sviz</t>
  </si>
  <si>
    <t>Svitto</t>
  </si>
  <si>
    <t>&lt;Zeilentitel_2.6&gt;</t>
  </si>
  <si>
    <t>Obwalden</t>
  </si>
  <si>
    <t>Sursilvania</t>
  </si>
  <si>
    <t>Obvaldo</t>
  </si>
  <si>
    <t>&lt;Zeilentitel_2.7&gt;</t>
  </si>
  <si>
    <t>Nidwalden</t>
  </si>
  <si>
    <t>Sutsilvania</t>
  </si>
  <si>
    <t>Nidvaldo</t>
  </si>
  <si>
    <t>&lt;Zeilentitel_2.8&gt;</t>
  </si>
  <si>
    <t>Glarus</t>
  </si>
  <si>
    <t>Glaruna</t>
  </si>
  <si>
    <t>Glarona</t>
  </si>
  <si>
    <t>&lt;Zeilentitel_2.9&gt;</t>
  </si>
  <si>
    <t>Zug</t>
  </si>
  <si>
    <t>Zugo</t>
  </si>
  <si>
    <t>&lt;Zeilentitel_2.10&gt;</t>
  </si>
  <si>
    <t>Freiburg</t>
  </si>
  <si>
    <t>Friburg</t>
  </si>
  <si>
    <t>Friborgo</t>
  </si>
  <si>
    <t>&lt;Zeilentitel_2.11&gt;</t>
  </si>
  <si>
    <t>Solothurn</t>
  </si>
  <si>
    <t>Soloturn</t>
  </si>
  <si>
    <t>Soletta</t>
  </si>
  <si>
    <t>&lt;Zeilentitel_2.12&gt;</t>
  </si>
  <si>
    <t>Basel-Stadt</t>
  </si>
  <si>
    <t>Basilea-Citad</t>
  </si>
  <si>
    <t>Basilea Città</t>
  </si>
  <si>
    <t>&lt;Zeilentitel_2.13&gt;</t>
  </si>
  <si>
    <t>Basel-Landschaft</t>
  </si>
  <si>
    <t>Basilea-Champagna</t>
  </si>
  <si>
    <t>Basilea Campagna</t>
  </si>
  <si>
    <t>&lt;Zeilentitel_2.14&gt;</t>
  </si>
  <si>
    <t>Schaffhausen</t>
  </si>
  <si>
    <t>Schaffusa</t>
  </si>
  <si>
    <t>Sciaffusa</t>
  </si>
  <si>
    <t>&lt;Zeilentitel_2.15&gt;</t>
  </si>
  <si>
    <t>Appenzell Ausserrhoden</t>
  </si>
  <si>
    <t>Appenzell Dadora</t>
  </si>
  <si>
    <t>Appenzello Esterno</t>
  </si>
  <si>
    <t>&lt;Zeilentitel_2.16&gt;</t>
  </si>
  <si>
    <t>Appenzell Innerrhoden</t>
  </si>
  <si>
    <t>Appenzell Dadens</t>
  </si>
  <si>
    <t>Appenzello Interno</t>
  </si>
  <si>
    <t>&lt;Zeilentitel_2.17&gt;</t>
  </si>
  <si>
    <t>St. Gallen</t>
  </si>
  <si>
    <t>Son Gagl</t>
  </si>
  <si>
    <t>San Gallo</t>
  </si>
  <si>
    <t>&lt;Zeilentitel_2.18&gt;</t>
  </si>
  <si>
    <t>Graubünden</t>
  </si>
  <si>
    <t>Grischun</t>
  </si>
  <si>
    <t>Grigioni</t>
  </si>
  <si>
    <t>&lt;Zeilentitel_2.19&gt;</t>
  </si>
  <si>
    <t>Aargau</t>
  </si>
  <si>
    <t>Argovia</t>
  </si>
  <si>
    <t>&lt;Zeilentitel_2.20&gt;</t>
  </si>
  <si>
    <t>Thurgau</t>
  </si>
  <si>
    <t>Turgovia</t>
  </si>
  <si>
    <t>&lt;Zeilentitel_2.21&gt;</t>
  </si>
  <si>
    <t>Ticino</t>
  </si>
  <si>
    <t>Tessin</t>
  </si>
  <si>
    <t>&lt;Zeilentitel_2.22&gt;</t>
  </si>
  <si>
    <t>Vaud</t>
  </si>
  <si>
    <t>Vad</t>
  </si>
  <si>
    <t>&lt;Zeilentitel_2.23&gt;</t>
  </si>
  <si>
    <t>Wallis</t>
  </si>
  <si>
    <t>Vallais</t>
  </si>
  <si>
    <t>Vallese</t>
  </si>
  <si>
    <t>&lt;Zeilentitel_2.24&gt;</t>
  </si>
  <si>
    <t>Neuchâtel</t>
  </si>
  <si>
    <t>&lt;Zeilentitel_2.25&gt;</t>
  </si>
  <si>
    <t>Genève</t>
  </si>
  <si>
    <t>Genevra</t>
  </si>
  <si>
    <t>Ginevra</t>
  </si>
  <si>
    <t>&lt;Zeilentitel_2.26&gt;</t>
  </si>
  <si>
    <t>Jura</t>
  </si>
  <si>
    <t>Giura</t>
  </si>
  <si>
    <t>&lt;Legende_1&gt;</t>
  </si>
  <si>
    <t>(): Extrapolation aufgrund von 49 oder weniger Beobachtungen. Die Resultate sind mit grosser Vorsicht zu interpretieren.</t>
  </si>
  <si>
    <t>(): Extrapolaziun sin basa da 49 u damain observaziuns. Ils resultats ston vegnir interpretads cun gronda precauziun.</t>
  </si>
  <si>
    <t>(): Estrapolazione basata su meno di 50 osservazioni. I risultati sono da interpretare con molta precauzione.</t>
  </si>
  <si>
    <t>&lt;Legende_2&gt;</t>
  </si>
  <si>
    <t>X: Extrapolation aufgrund von 4 oder weniger Beobachtungen. Die Resultate werden aus Gründen des Datenschutzes nicht publiziert.</t>
  </si>
  <si>
    <t>X: Extrapolaziun pervia da 4 u damain observaziuns. Per motivs da la protecziun da datas na vegnan ils resultats betg publitgads.</t>
  </si>
  <si>
    <t>X : Estrapolazione basata su meno di 5 osservazioni. I risultati non sono pubblicati per ragioni legate alla protezione dei dati.</t>
  </si>
  <si>
    <t>&lt;Legende_3&gt;</t>
  </si>
  <si>
    <t>Die Grundgesamtheit der Strukturerhebung enthält alle Personen der ständigen Wohnbevölkerung ab vollendetem 15. Altersjahr, die in Privathaushalten leben.</t>
  </si>
  <si>
    <t>La survista da basa da l'enquista da structura cumpiglia tut las persunas da la populaziun residenta permanenta a partir da 15 onns che vivan en chasadas privatas.</t>
  </si>
  <si>
    <t>L'universo di base della rilevazione strutturale comprende tutte le persone facenti parte della popolazione residente permanente di 15 anni e più che vivono in un'economia domestica.</t>
  </si>
  <si>
    <t>&lt;Legende_4&gt;</t>
  </si>
  <si>
    <t>Aus der Grundgesamtheit ausgeschlossen wurden neben den Personen, die in Kollektivhaushalten leben, auch Diplomaten, internationale Funktionäre und deren Angehörige.</t>
  </si>
  <si>
    <t>Exclus da la totalitad fundamentala èn vegnids ultra da las persunas che vivan en chasadas collectivas er diplomats, funcziunaris internaziunals e lur confamigliars.</t>
  </si>
  <si>
    <t>Sono esclusi diplomatici, i funzionari internazionali ed i loro familiari e le persone che vivono in una collettività.</t>
  </si>
  <si>
    <t>&lt;Legende_5&gt;</t>
  </si>
  <si>
    <t>&lt;Quelle_1&gt;</t>
  </si>
  <si>
    <t>Quelle: BFS (Strukturerhebung)</t>
  </si>
  <si>
    <t>Funtauna: UST (enquista da structura)</t>
  </si>
  <si>
    <t>Fonte: UST (Rilevazione strutturale)</t>
  </si>
  <si>
    <t>&lt;Aktualisierung&gt;</t>
  </si>
  <si>
    <t>Arbeitsmarktstatus nach Kanton</t>
  </si>
  <si>
    <t>Geschlecht</t>
  </si>
  <si>
    <t>Männer</t>
  </si>
  <si>
    <t>Frauen</t>
  </si>
  <si>
    <t>Alter</t>
  </si>
  <si>
    <t>15-24</t>
  </si>
  <si>
    <t>25-44</t>
  </si>
  <si>
    <t>45-64</t>
  </si>
  <si>
    <t>65 und mehr</t>
  </si>
  <si>
    <t>Staatsangehörigkeit</t>
  </si>
  <si>
    <t>Schweiz</t>
  </si>
  <si>
    <t>Staatsangehörigkeit unbekannt</t>
  </si>
  <si>
    <t>Migrationsstatus</t>
  </si>
  <si>
    <t>Schweizer/innen ohne Migrationshintergrund</t>
  </si>
  <si>
    <t>Schweizer/innen mit Migrationshintergrund</t>
  </si>
  <si>
    <t>Ausländer/innen der ersten Generation</t>
  </si>
  <si>
    <t>Ausländer/innen der zweiten und höheren Generation</t>
  </si>
  <si>
    <t>Migrationshintergrund unbekannt</t>
  </si>
  <si>
    <t>Sozioprofessionelle Kategorien</t>
  </si>
  <si>
    <t>Oberstes Management</t>
  </si>
  <si>
    <t>Freie und gleichgestellte Berufe</t>
  </si>
  <si>
    <t>Andere Selbstständige</t>
  </si>
  <si>
    <t>Akademische Berufe und oberes Kader</t>
  </si>
  <si>
    <t>Intermediäre Berufe</t>
  </si>
  <si>
    <t>Qualifizierte nichtmanuelle Berufe</t>
  </si>
  <si>
    <t>Qualifizierte manuelle Berufe</t>
  </si>
  <si>
    <t>Lernende in dualer beruflicher Grundbildung (Lehrlinge)</t>
  </si>
  <si>
    <t>Erwerbslose und Nichterwerbspersonen</t>
  </si>
  <si>
    <t>Höchste abgeschlossene Ausbildung</t>
  </si>
  <si>
    <t>Sekundarstufe II</t>
  </si>
  <si>
    <t>Tertiärstufe</t>
  </si>
  <si>
    <t>Status dal martgà da lavur tenor il chantun</t>
  </si>
  <si>
    <t>T2</t>
  </si>
  <si>
    <t>&lt;T2Zeilentitel_1&gt;</t>
  </si>
  <si>
    <t>&lt;T2Zeilentitel_2&gt;</t>
  </si>
  <si>
    <t>Gender</t>
  </si>
  <si>
    <t>Sesso</t>
  </si>
  <si>
    <t>&lt;T2Zeilentitel_3&gt;</t>
  </si>
  <si>
    <t>Vegliadetgna</t>
  </si>
  <si>
    <t>Età</t>
  </si>
  <si>
    <t>&lt;T2Zeilentitel_4&gt;</t>
  </si>
  <si>
    <t>Naziunalitad</t>
  </si>
  <si>
    <t>Cittadinanza</t>
  </si>
  <si>
    <t>&lt;T2Zeilentitel_5&gt;</t>
  </si>
  <si>
    <t>Status da migraziun</t>
  </si>
  <si>
    <t>Passato migratorio</t>
  </si>
  <si>
    <t>&lt;T2Zeilentitel_6&gt;</t>
  </si>
  <si>
    <t>Categorias socioprofessiunalas</t>
  </si>
  <si>
    <t>Categorie socio-professionali</t>
  </si>
  <si>
    <t>&lt;T2Zeilentitel_7&gt;</t>
  </si>
  <si>
    <t>La pli auta scolaziun terminada</t>
  </si>
  <si>
    <t>Formazione più elevata conclusa</t>
  </si>
  <si>
    <t>&lt;T2Zeilentitel_2.1&gt;</t>
  </si>
  <si>
    <t>Umens</t>
  </si>
  <si>
    <t>Uomini</t>
  </si>
  <si>
    <t>&lt;T2Zeilentitel_2.2&gt;</t>
  </si>
  <si>
    <t>Dunnas</t>
  </si>
  <si>
    <t>Donne</t>
  </si>
  <si>
    <t>&lt;T2Zeilentitel_3.1&gt;</t>
  </si>
  <si>
    <t>&lt;T2Zeilentitel_3.2&gt;</t>
  </si>
  <si>
    <t>&lt;T2Zeilentitel_3.3&gt;</t>
  </si>
  <si>
    <t>&lt;T2Zeilentitel_3.4&gt;</t>
  </si>
  <si>
    <t>65 e dapli</t>
  </si>
  <si>
    <t>65 e più</t>
  </si>
  <si>
    <t>&lt;T2Zeilentitel_4.1&gt;</t>
  </si>
  <si>
    <t>Svizra</t>
  </si>
  <si>
    <t>Svizzera</t>
  </si>
  <si>
    <t>&lt;T2Zeilentitel_4.2&gt;</t>
  </si>
  <si>
    <t>UE e AELS</t>
  </si>
  <si>
    <t>&lt;T2Zeilentitel_4.3&gt;</t>
  </si>
  <si>
    <t>Andere europäische Staaten</t>
  </si>
  <si>
    <t>Auters stadis europeics</t>
  </si>
  <si>
    <t>Altro paese europeo</t>
  </si>
  <si>
    <t>&lt;T2Zeilentitel_4.4&gt;</t>
  </si>
  <si>
    <t>Andere Staaten</t>
  </si>
  <si>
    <t>Auters stadis</t>
  </si>
  <si>
    <t>Paese extraeuropeo</t>
  </si>
  <si>
    <t>&lt;T2Zeilentitel_4.5&gt;</t>
  </si>
  <si>
    <t>Naziunalitad n'è betg enconuschenta</t>
  </si>
  <si>
    <t>Cittadinanza sconosciuta</t>
  </si>
  <si>
    <t>&lt;T2Zeilentitel_5.1&gt;</t>
  </si>
  <si>
    <t>Svizzers senza retroterra da migraziun</t>
  </si>
  <si>
    <t>Svizzeri/e senza un passato migratorio</t>
  </si>
  <si>
    <t>&lt;T2Zeilentitel_5.2&gt;</t>
  </si>
  <si>
    <t>Svizzers cun ina migraziun</t>
  </si>
  <si>
    <t>Svizzeri/e con un passato migratorio</t>
  </si>
  <si>
    <t>&lt;T2Zeilentitel_5.3&gt;</t>
  </si>
  <si>
    <t>Persunas estras da l'emprima generaziun</t>
  </si>
  <si>
    <t>Stranieri/e di prima generazione</t>
  </si>
  <si>
    <t>&lt;T2Zeilentitel_5.4&gt;</t>
  </si>
  <si>
    <t>Persunas estras da la segunda generaziun e da l'emprima</t>
  </si>
  <si>
    <t>Stranieri/e di seconda generazione e più</t>
  </si>
  <si>
    <t>&lt;T2Zeilentitel_5.5&gt;</t>
  </si>
  <si>
    <t>La migraziun n'è betg enconuschenta</t>
  </si>
  <si>
    <t>Passato migratorio sconosciuto</t>
  </si>
  <si>
    <t>&lt;T2Zeilentitel_6.1&gt;</t>
  </si>
  <si>
    <t>Management suprem</t>
  </si>
  <si>
    <t>Management superiore</t>
  </si>
  <si>
    <t>&lt;T2Zeilentitel_6.2&gt;</t>
  </si>
  <si>
    <t>Professiuns libras ed egualas</t>
  </si>
  <si>
    <t>Professioni liberali ed equiparate</t>
  </si>
  <si>
    <t>&lt;T2Zeilentitel_6.3&gt;</t>
  </si>
  <si>
    <t>Autras persunas independentas</t>
  </si>
  <si>
    <t>Altri indipendenti</t>
  </si>
  <si>
    <t>&lt;T2Zeilentitel_6.4&gt;</t>
  </si>
  <si>
    <t>Professiuns academicas e cader superiur</t>
  </si>
  <si>
    <t>Professioni accademiche e quadri superiori</t>
  </si>
  <si>
    <t>&lt;T2Zeilentitel_6.5&gt;</t>
  </si>
  <si>
    <t>Professiuns intermediaras</t>
  </si>
  <si>
    <t>Professioni intermediarie</t>
  </si>
  <si>
    <t>&lt;T2Zeilentitel_6.6&gt;</t>
  </si>
  <si>
    <t>Professiuns betg manualas qualifitgadas</t>
  </si>
  <si>
    <t>Professioni qualificate non manuali</t>
  </si>
  <si>
    <t>&lt;T2Zeilentitel_6.7&gt;</t>
  </si>
  <si>
    <t>Professiuns manualas qualifitgadas</t>
  </si>
  <si>
    <t>Professioni qualificate manuali</t>
  </si>
  <si>
    <t>&lt;T2Zeilentitel_6.8&gt;</t>
  </si>
  <si>
    <t>Ungelernte Angestellte und Arbeiter</t>
  </si>
  <si>
    <t>Emploiads e lavurants betg emprendids</t>
  </si>
  <si>
    <t>Impiegati e operai non qualificati</t>
  </si>
  <si>
    <t>&lt;T2Zeilentitel_6.9&gt;</t>
  </si>
  <si>
    <t>Emprendistas ed emprendists en ina furmaziun fundamentala professiunala dubla (emprendists)</t>
  </si>
  <si>
    <t>Persone in formazione professionale di base duale (apprendisti)</t>
  </si>
  <si>
    <t>&lt;T2Zeilentitel_6.10&gt;</t>
  </si>
  <si>
    <t>Nicht zuteilbare Erwerbstätige (fehlende oder unklare Basisdaten oder unplausible Kombination)</t>
  </si>
  <si>
    <t>Persunas cun activitad da gudogn che n'èn betg attribuiblas (datas da basa mancantas u betg cleras u ina cumbinaziun inclausibla)</t>
  </si>
  <si>
    <t>Occupati non attribuibili (dati di base mancanti)</t>
  </si>
  <si>
    <t>&lt;T2Zeilentitel_6.11&gt;</t>
  </si>
  <si>
    <t>Persunas senza activitad da gudogn e persunas senza activitad da gudogn</t>
  </si>
  <si>
    <t>Disoccupati e persone senza attività professionale</t>
  </si>
  <si>
    <t>&lt;T2Zeilentitel_7.1&gt;</t>
  </si>
  <si>
    <t>Obligatorische Schule</t>
  </si>
  <si>
    <t>Scola obligatorica</t>
  </si>
  <si>
    <t>Senza formazione postobbligatoria</t>
  </si>
  <si>
    <t>&lt;T2Zeilentitel_7.2&gt;</t>
  </si>
  <si>
    <t>Stgalim secundar II</t>
  </si>
  <si>
    <t>Livello secondario II</t>
  </si>
  <si>
    <t>&lt;T2Zeilentitel_7.3&gt;</t>
  </si>
  <si>
    <t>Stgalim terziar</t>
  </si>
  <si>
    <t>Livello terziario</t>
  </si>
  <si>
    <t>&lt;T2Titel&gt;</t>
  </si>
  <si>
    <t>&lt;T2Aktualisierung&gt;</t>
  </si>
  <si>
    <t>Persone attive</t>
  </si>
  <si>
    <t>Occupati</t>
  </si>
  <si>
    <t>Occupati a tempo pieno (90-100%)</t>
  </si>
  <si>
    <t>Occupati a tempo parziale I (70-89%)</t>
  </si>
  <si>
    <t>Occupati a tempo parziale II (50-69%)</t>
  </si>
  <si>
    <t>Occupati a tempo parziale III (meno di 50%)</t>
  </si>
  <si>
    <t>Disoccupati</t>
  </si>
  <si>
    <t>Persone senza attività professionale in formazione</t>
  </si>
  <si>
    <t>Casalinghi/e</t>
  </si>
  <si>
    <t>Pensionati/e</t>
  </si>
  <si>
    <t>Altre persone senza attività professionale</t>
  </si>
  <si>
    <t>X</t>
  </si>
  <si>
    <t>Letztmals aktualisiert am: 27.01.2024</t>
  </si>
  <si>
    <t>Ultima actualisaziun: 27.01.2024</t>
  </si>
  <si>
    <t>Ulimo aggiornamento: 27.01.2024</t>
  </si>
  <si>
    <t>EU und EFTA</t>
  </si>
  <si>
    <t>UE ed AECL</t>
  </si>
  <si>
    <t>Arbeitsmarktstatus im Kanton Graubünden</t>
  </si>
  <si>
    <t>Status dal martgà da lavur en il chantun Grischun</t>
  </si>
  <si>
    <t>Stato sul mercato del lavoro nel Cantone dei Grigioni</t>
  </si>
  <si>
    <t>Stato sul mercato del lavoro secondo il Cantone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</si>
</sst>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 * #,##0.00_ ;_ * \-#,##0.00_ ;_ * &quot;-&quot;??_ ;_ @_ "/>
    <numFmt numFmtId="164" formatCode="_ * #,##0_ ;_ * \-#,##0_ ;_ * &quot;-&quot;??_ ;_ @_ "/>
    <numFmt numFmtId="165" formatCode="0.0%"/>
    <numFmt numFmtId="166" formatCode="#,##0_ ;\-#,##0\ "/>
    <numFmt numFmtId="167" formatCode="0.0"/>
    <numFmt numFmtId="168" formatCode="\(0.0\)"/>
    <numFmt numFmtId="169" formatCode="_-* #,##0.00\ _€_-;\-* #,##0.00\ _€_-;_-* &quot;-&quot;??\ _€_-;_-@_-"/>
    <numFmt numFmtId="170" formatCode="\(0\)"/>
    <numFmt numFmtId="171" formatCode="#\'###\'##0"/>
    <numFmt numFmtId="172" formatCode="#\'##0"/>
    <numFmt numFmtId="173" formatCode="\(#\'##0\)"/>
    <numFmt numFmtId="174" formatCode="\(##0\)"/>
  </numFmts>
  <fonts count="15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color rgb="FFFF0000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8"/>
      <color rgb="FF000000"/>
      <name val="Segoe UI"/>
      <family val="2"/>
    </font>
    <font>
      <sz val="10"/>
      <color theme="0" tint="-0.1499984740745262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</cellStyleXfs>
  <cellXfs count="116">
    <xf numFmtId="0" fontId="0" fillId="0" borderId="0" xfId="0"/>
    <xf numFmtId="0" fontId="0" fillId="2" borderId="0" xfId="0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8" fillId="2" borderId="0" xfId="3" applyFont="1" applyFill="1" applyAlignment="1">
      <alignment horizontal="left" vertical="top"/>
    </xf>
    <xf numFmtId="164" fontId="8" fillId="2" borderId="0" xfId="4" applyNumberFormat="1" applyFont="1" applyFill="1" applyBorder="1" applyAlignment="1" applyProtection="1">
      <alignment horizontal="left" vertical="top"/>
    </xf>
    <xf numFmtId="0" fontId="9" fillId="2" borderId="0" xfId="3" applyFont="1" applyFill="1" applyAlignment="1">
      <alignment horizontal="right" vertical="center"/>
    </xf>
    <xf numFmtId="0" fontId="3" fillId="2" borderId="0" xfId="0" applyFont="1" applyFill="1"/>
    <xf numFmtId="0" fontId="10" fillId="2" borderId="0" xfId="0" applyFont="1" applyFill="1" applyAlignment="1">
      <alignment horizontal="left" vertical="top" wrapText="1"/>
    </xf>
    <xf numFmtId="0" fontId="10" fillId="2" borderId="0" xfId="0" applyFont="1" applyFill="1" applyAlignment="1">
      <alignment vertical="top" wrapText="1"/>
    </xf>
    <xf numFmtId="3" fontId="4" fillId="2" borderId="0" xfId="1" applyNumberFormat="1" applyFont="1" applyFill="1" applyBorder="1" applyAlignment="1" applyProtection="1">
      <alignment horizontal="right" wrapText="1"/>
    </xf>
    <xf numFmtId="165" fontId="4" fillId="2" borderId="0" xfId="2" applyNumberFormat="1" applyFont="1" applyFill="1" applyBorder="1" applyAlignment="1" applyProtection="1">
      <alignment horizontal="right" wrapText="1"/>
    </xf>
    <xf numFmtId="166" fontId="4" fillId="2" borderId="0" xfId="1" applyNumberFormat="1" applyFont="1" applyFill="1" applyBorder="1" applyAlignment="1" applyProtection="1">
      <alignment horizontal="right" wrapText="1"/>
    </xf>
    <xf numFmtId="165" fontId="4" fillId="2" borderId="0" xfId="1" applyNumberFormat="1" applyFont="1" applyFill="1" applyBorder="1" applyAlignment="1" applyProtection="1">
      <alignment horizontal="right" wrapText="1"/>
    </xf>
    <xf numFmtId="0" fontId="11" fillId="4" borderId="0" xfId="0" applyFont="1" applyFill="1" applyAlignment="1">
      <alignment horizontal="left" vertical="top"/>
    </xf>
    <xf numFmtId="0" fontId="10" fillId="2" borderId="2" xfId="0" applyFont="1" applyFill="1" applyBorder="1" applyAlignment="1">
      <alignment vertical="top" wrapText="1"/>
    </xf>
    <xf numFmtId="0" fontId="10" fillId="2" borderId="4" xfId="0" applyFont="1" applyFill="1" applyBorder="1" applyAlignment="1">
      <alignment horizontal="left" vertical="top" wrapText="1"/>
    </xf>
    <xf numFmtId="3" fontId="4" fillId="2" borderId="10" xfId="6" applyNumberFormat="1" applyFont="1" applyFill="1" applyBorder="1" applyAlignment="1" applyProtection="1">
      <alignment horizontal="right" vertical="center" wrapText="1"/>
    </xf>
    <xf numFmtId="170" fontId="4" fillId="2" borderId="10" xfId="6" applyNumberFormat="1" applyFont="1" applyFill="1" applyBorder="1" applyAlignment="1" applyProtection="1">
      <alignment horizontal="right" vertical="center" wrapText="1"/>
    </xf>
    <xf numFmtId="0" fontId="7" fillId="4" borderId="0" xfId="0" applyFont="1" applyFill="1" applyAlignment="1">
      <alignment horizontal="left" vertical="top"/>
    </xf>
    <xf numFmtId="0" fontId="11" fillId="4" borderId="0" xfId="0" applyFont="1" applyFill="1" applyAlignment="1">
      <alignment horizontal="left" vertical="center"/>
    </xf>
    <xf numFmtId="0" fontId="11" fillId="2" borderId="1" xfId="0" applyFont="1" applyFill="1" applyBorder="1" applyAlignment="1">
      <alignment vertical="top" wrapText="1"/>
    </xf>
    <xf numFmtId="0" fontId="11" fillId="2" borderId="3" xfId="0" applyFont="1" applyFill="1" applyBorder="1" applyAlignment="1">
      <alignment vertical="top" wrapText="1"/>
    </xf>
    <xf numFmtId="0" fontId="11" fillId="2" borderId="7" xfId="1" applyNumberFormat="1" applyFont="1" applyFill="1" applyBorder="1" applyAlignment="1" applyProtection="1">
      <alignment horizontal="right" vertical="top" wrapText="1"/>
    </xf>
    <xf numFmtId="0" fontId="11" fillId="2" borderId="8" xfId="2" applyNumberFormat="1" applyFont="1" applyFill="1" applyBorder="1" applyAlignment="1" applyProtection="1">
      <alignment horizontal="right" vertical="top" wrapText="1"/>
    </xf>
    <xf numFmtId="3" fontId="4" fillId="2" borderId="23" xfId="6" applyNumberFormat="1" applyFont="1" applyFill="1" applyBorder="1" applyAlignment="1" applyProtection="1">
      <alignment horizontal="right" vertical="center" wrapText="1"/>
    </xf>
    <xf numFmtId="0" fontId="11" fillId="0" borderId="18" xfId="1" applyNumberFormat="1" applyFont="1" applyFill="1" applyBorder="1" applyAlignment="1" applyProtection="1">
      <alignment horizontal="right" vertical="top" wrapText="1"/>
    </xf>
    <xf numFmtId="0" fontId="11" fillId="0" borderId="19" xfId="5" applyNumberFormat="1" applyFont="1" applyFill="1" applyBorder="1" applyAlignment="1" applyProtection="1">
      <alignment horizontal="right" vertical="top" wrapText="1"/>
    </xf>
    <xf numFmtId="3" fontId="4" fillId="2" borderId="12" xfId="6" applyNumberFormat="1" applyFont="1" applyFill="1" applyBorder="1" applyAlignment="1" applyProtection="1">
      <alignment horizontal="left" vertical="center" wrapText="1"/>
    </xf>
    <xf numFmtId="3" fontId="4" fillId="3" borderId="12" xfId="6" applyNumberFormat="1" applyFont="1" applyFill="1" applyBorder="1" applyAlignment="1" applyProtection="1">
      <alignment horizontal="left" vertical="center" wrapText="1"/>
    </xf>
    <xf numFmtId="3" fontId="4" fillId="2" borderId="22" xfId="6" applyNumberFormat="1" applyFont="1" applyFill="1" applyBorder="1" applyAlignment="1" applyProtection="1">
      <alignment horizontal="left" vertical="center" wrapText="1"/>
    </xf>
    <xf numFmtId="0" fontId="12" fillId="5" borderId="0" xfId="0" applyFont="1" applyFill="1" applyBorder="1" applyAlignment="1">
      <alignment horizontal="left" vertical="top"/>
    </xf>
    <xf numFmtId="0" fontId="12" fillId="5" borderId="0" xfId="0" applyFont="1" applyFill="1" applyBorder="1" applyAlignment="1">
      <alignment horizontal="left" vertical="top" wrapText="1"/>
    </xf>
    <xf numFmtId="0" fontId="4" fillId="6" borderId="0" xfId="0" applyFont="1" applyFill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12" fillId="6" borderId="0" xfId="0" applyFont="1" applyFill="1" applyBorder="1" applyAlignment="1">
      <alignment horizontal="left" vertical="top"/>
    </xf>
    <xf numFmtId="0" fontId="4" fillId="6" borderId="0" xfId="0" applyFont="1" applyFill="1" applyBorder="1" applyAlignment="1" applyProtection="1">
      <alignment horizontal="left" vertical="top"/>
      <protection locked="0"/>
    </xf>
    <xf numFmtId="0" fontId="4" fillId="6" borderId="0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Border="1" applyAlignment="1">
      <alignment horizontal="left" vertical="top" wrapText="1"/>
    </xf>
    <xf numFmtId="0" fontId="4" fillId="6" borderId="0" xfId="0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3" applyFont="1" applyBorder="1" applyAlignment="1">
      <alignment horizontal="left" vertical="top" wrapText="1"/>
    </xf>
    <xf numFmtId="0" fontId="4" fillId="7" borderId="0" xfId="0" applyFont="1" applyFill="1" applyBorder="1" applyAlignment="1">
      <alignment horizontal="left" vertical="top"/>
    </xf>
    <xf numFmtId="0" fontId="4" fillId="7" borderId="0" xfId="0" applyFont="1" applyFill="1" applyBorder="1" applyAlignment="1">
      <alignment horizontal="left" vertical="top" wrapText="1"/>
    </xf>
    <xf numFmtId="0" fontId="4" fillId="0" borderId="0" xfId="0" applyFont="1" applyBorder="1"/>
    <xf numFmtId="3" fontId="4" fillId="2" borderId="25" xfId="6" applyNumberFormat="1" applyFont="1" applyFill="1" applyBorder="1" applyAlignment="1" applyProtection="1">
      <alignment horizontal="left" vertical="center" wrapText="1"/>
    </xf>
    <xf numFmtId="0" fontId="11" fillId="2" borderId="28" xfId="1" applyNumberFormat="1" applyFont="1" applyFill="1" applyBorder="1" applyAlignment="1" applyProtection="1">
      <alignment horizontal="right" vertical="top" wrapText="1"/>
    </xf>
    <xf numFmtId="0" fontId="11" fillId="2" borderId="11" xfId="2" applyNumberFormat="1" applyFont="1" applyFill="1" applyBorder="1" applyAlignment="1" applyProtection="1">
      <alignment horizontal="right" vertical="top" wrapText="1"/>
    </xf>
    <xf numFmtId="0" fontId="11" fillId="2" borderId="29" xfId="2" applyNumberFormat="1" applyFont="1" applyFill="1" applyBorder="1" applyAlignment="1" applyProtection="1">
      <alignment horizontal="right" vertical="top" wrapText="1"/>
    </xf>
    <xf numFmtId="0" fontId="11" fillId="0" borderId="28" xfId="1" applyNumberFormat="1" applyFont="1" applyFill="1" applyBorder="1" applyAlignment="1" applyProtection="1">
      <alignment horizontal="right" vertical="top" wrapText="1"/>
    </xf>
    <xf numFmtId="0" fontId="11" fillId="0" borderId="27" xfId="5" applyNumberFormat="1" applyFont="1" applyFill="1" applyBorder="1" applyAlignment="1" applyProtection="1">
      <alignment horizontal="right" vertical="top" wrapText="1"/>
    </xf>
    <xf numFmtId="0" fontId="10" fillId="0" borderId="20" xfId="0" applyFont="1" applyBorder="1" applyAlignment="1">
      <alignment vertical="center"/>
    </xf>
    <xf numFmtId="0" fontId="5" fillId="2" borderId="0" xfId="0" applyFont="1" applyFill="1" applyAlignment="1">
      <alignment horizontal="left" vertical="top" wrapText="1"/>
    </xf>
    <xf numFmtId="3" fontId="4" fillId="2" borderId="6" xfId="6" applyNumberFormat="1" applyFont="1" applyFill="1" applyBorder="1" applyAlignment="1" applyProtection="1">
      <alignment horizontal="left" vertical="center" wrapText="1"/>
    </xf>
    <xf numFmtId="167" fontId="12" fillId="2" borderId="21" xfId="6" applyNumberFormat="1" applyFont="1" applyFill="1" applyBorder="1" applyAlignment="1" applyProtection="1">
      <alignment horizontal="right" vertical="center" wrapText="1"/>
    </xf>
    <xf numFmtId="167" fontId="4" fillId="2" borderId="31" xfId="6" applyNumberFormat="1" applyFont="1" applyFill="1" applyBorder="1" applyAlignment="1" applyProtection="1">
      <alignment horizontal="right" vertical="center" wrapText="1"/>
    </xf>
    <xf numFmtId="167" fontId="4" fillId="3" borderId="31" xfId="6" applyNumberFormat="1" applyFont="1" applyFill="1" applyBorder="1" applyAlignment="1" applyProtection="1">
      <alignment horizontal="right" vertical="center" wrapText="1"/>
    </xf>
    <xf numFmtId="167" fontId="4" fillId="2" borderId="14" xfId="6" applyNumberFormat="1" applyFont="1" applyFill="1" applyBorder="1" applyAlignment="1" applyProtection="1">
      <alignment horizontal="right" vertical="center" wrapText="1"/>
    </xf>
    <xf numFmtId="168" fontId="4" fillId="2" borderId="31" xfId="6" applyNumberFormat="1" applyFont="1" applyFill="1" applyBorder="1" applyAlignment="1" applyProtection="1">
      <alignment horizontal="right" vertical="center" wrapText="1"/>
    </xf>
    <xf numFmtId="0" fontId="11" fillId="0" borderId="32" xfId="1" applyNumberFormat="1" applyFont="1" applyFill="1" applyBorder="1" applyAlignment="1" applyProtection="1">
      <alignment horizontal="right" vertical="top" wrapText="1"/>
    </xf>
    <xf numFmtId="167" fontId="12" fillId="2" borderId="33" xfId="6" applyNumberFormat="1" applyFont="1" applyFill="1" applyBorder="1" applyAlignment="1" applyProtection="1">
      <alignment horizontal="right" vertical="center" wrapText="1"/>
    </xf>
    <xf numFmtId="171" fontId="12" fillId="2" borderId="34" xfId="6" applyNumberFormat="1" applyFont="1" applyFill="1" applyBorder="1" applyAlignment="1" applyProtection="1">
      <alignment horizontal="right" vertical="center" wrapText="1"/>
    </xf>
    <xf numFmtId="167" fontId="12" fillId="2" borderId="35" xfId="6" applyNumberFormat="1" applyFont="1" applyFill="1" applyBorder="1" applyAlignment="1" applyProtection="1">
      <alignment horizontal="right" vertical="center" wrapText="1"/>
    </xf>
    <xf numFmtId="167" fontId="4" fillId="2" borderId="2" xfId="6" applyNumberFormat="1" applyFont="1" applyFill="1" applyBorder="1" applyAlignment="1" applyProtection="1">
      <alignment horizontal="right" vertical="center" wrapText="1"/>
    </xf>
    <xf numFmtId="168" fontId="4" fillId="2" borderId="2" xfId="6" applyNumberFormat="1" applyFont="1" applyFill="1" applyBorder="1" applyAlignment="1" applyProtection="1">
      <alignment horizontal="right" vertical="center" wrapText="1"/>
    </xf>
    <xf numFmtId="167" fontId="4" fillId="3" borderId="2" xfId="6" applyNumberFormat="1" applyFont="1" applyFill="1" applyBorder="1" applyAlignment="1" applyProtection="1">
      <alignment horizontal="right" vertical="center" wrapText="1"/>
    </xf>
    <xf numFmtId="167" fontId="4" fillId="2" borderId="36" xfId="6" applyNumberFormat="1" applyFont="1" applyFill="1" applyBorder="1" applyAlignment="1" applyProtection="1">
      <alignment horizontal="right" vertical="center" wrapText="1"/>
    </xf>
    <xf numFmtId="168" fontId="4" fillId="2" borderId="3" xfId="6" applyNumberFormat="1" applyFont="1" applyFill="1" applyBorder="1" applyAlignment="1" applyProtection="1">
      <alignment horizontal="right" vertical="center" wrapText="1"/>
    </xf>
    <xf numFmtId="171" fontId="12" fillId="2" borderId="37" xfId="6" applyNumberFormat="1" applyFont="1" applyFill="1" applyBorder="1" applyAlignment="1" applyProtection="1">
      <alignment horizontal="right" vertical="center" wrapText="1"/>
    </xf>
    <xf numFmtId="171" fontId="4" fillId="2" borderId="28" xfId="6" applyNumberFormat="1" applyFont="1" applyFill="1" applyBorder="1" applyAlignment="1" applyProtection="1">
      <alignment horizontal="right" vertical="center" wrapText="1"/>
    </xf>
    <xf numFmtId="172" fontId="4" fillId="2" borderId="28" xfId="6" applyNumberFormat="1" applyFont="1" applyFill="1" applyBorder="1" applyAlignment="1" applyProtection="1">
      <alignment horizontal="right" vertical="center" wrapText="1"/>
    </xf>
    <xf numFmtId="172" fontId="4" fillId="3" borderId="28" xfId="6" applyNumberFormat="1" applyFont="1" applyFill="1" applyBorder="1" applyAlignment="1" applyProtection="1">
      <alignment horizontal="right" vertical="center" wrapText="1"/>
    </xf>
    <xf numFmtId="172" fontId="4" fillId="2" borderId="38" xfId="6" applyNumberFormat="1" applyFont="1" applyFill="1" applyBorder="1" applyAlignment="1" applyProtection="1">
      <alignment horizontal="right" vertical="center" wrapText="1"/>
    </xf>
    <xf numFmtId="172" fontId="4" fillId="2" borderId="9" xfId="6" applyNumberFormat="1" applyFont="1" applyFill="1" applyBorder="1" applyAlignment="1" applyProtection="1">
      <alignment horizontal="right" vertical="center" wrapText="1"/>
    </xf>
    <xf numFmtId="172" fontId="4" fillId="2" borderId="10" xfId="6" applyNumberFormat="1" applyFont="1" applyFill="1" applyBorder="1" applyAlignment="1" applyProtection="1">
      <alignment horizontal="right" vertical="center" wrapText="1"/>
    </xf>
    <xf numFmtId="172" fontId="4" fillId="3" borderId="10" xfId="6" applyNumberFormat="1" applyFont="1" applyFill="1" applyBorder="1" applyAlignment="1" applyProtection="1">
      <alignment horizontal="right" vertical="center" wrapText="1"/>
    </xf>
    <xf numFmtId="172" fontId="4" fillId="2" borderId="26" xfId="6" applyNumberFormat="1" applyFont="1" applyFill="1" applyBorder="1" applyAlignment="1" applyProtection="1">
      <alignment horizontal="right" vertical="center" wrapText="1"/>
    </xf>
    <xf numFmtId="167" fontId="12" fillId="2" borderId="39" xfId="6" applyNumberFormat="1" applyFont="1" applyFill="1" applyBorder="1" applyAlignment="1" applyProtection="1">
      <alignment horizontal="right" vertical="center" wrapText="1"/>
    </xf>
    <xf numFmtId="171" fontId="12" fillId="2" borderId="40" xfId="6" applyNumberFormat="1" applyFont="1" applyFill="1" applyBorder="1" applyAlignment="1" applyProtection="1">
      <alignment horizontal="right" vertical="center" wrapText="1"/>
    </xf>
    <xf numFmtId="172" fontId="12" fillId="2" borderId="40" xfId="6" applyNumberFormat="1" applyFont="1" applyFill="1" applyBorder="1" applyAlignment="1" applyProtection="1">
      <alignment horizontal="right" vertical="center" wrapText="1"/>
    </xf>
    <xf numFmtId="173" fontId="4" fillId="2" borderId="10" xfId="6" applyNumberFormat="1" applyFont="1" applyFill="1" applyBorder="1" applyAlignment="1" applyProtection="1">
      <alignment horizontal="right" vertical="center" wrapText="1"/>
    </xf>
    <xf numFmtId="174" fontId="4" fillId="2" borderId="10" xfId="6" applyNumberFormat="1" applyFont="1" applyFill="1" applyBorder="1" applyAlignment="1" applyProtection="1">
      <alignment horizontal="right" vertical="center" wrapText="1"/>
    </xf>
    <xf numFmtId="1" fontId="4" fillId="2" borderId="10" xfId="6" applyNumberFormat="1" applyFont="1" applyFill="1" applyBorder="1" applyAlignment="1" applyProtection="1">
      <alignment horizontal="right" vertical="center" wrapText="1"/>
    </xf>
    <xf numFmtId="173" fontId="4" fillId="2" borderId="26" xfId="6" applyNumberFormat="1" applyFont="1" applyFill="1" applyBorder="1" applyAlignment="1" applyProtection="1">
      <alignment horizontal="right" vertical="center" wrapText="1"/>
    </xf>
    <xf numFmtId="0" fontId="10" fillId="0" borderId="33" xfId="0" applyFont="1" applyBorder="1" applyAlignment="1">
      <alignment vertical="center"/>
    </xf>
    <xf numFmtId="3" fontId="4" fillId="2" borderId="41" xfId="6" applyNumberFormat="1" applyFont="1" applyFill="1" applyBorder="1" applyAlignment="1" applyProtection="1">
      <alignment horizontal="left" vertical="center" wrapText="1"/>
    </xf>
    <xf numFmtId="3" fontId="4" fillId="2" borderId="42" xfId="6" applyNumberFormat="1" applyFont="1" applyFill="1" applyBorder="1" applyAlignment="1" applyProtection="1">
      <alignment horizontal="left" vertical="center" wrapText="1"/>
    </xf>
    <xf numFmtId="3" fontId="4" fillId="2" borderId="43" xfId="6" applyNumberFormat="1" applyFont="1" applyFill="1" applyBorder="1" applyAlignment="1" applyProtection="1">
      <alignment horizontal="left" vertical="center" wrapText="1"/>
    </xf>
    <xf numFmtId="167" fontId="14" fillId="2" borderId="31" xfId="6" applyNumberFormat="1" applyFont="1" applyFill="1" applyBorder="1" applyAlignment="1" applyProtection="1">
      <alignment horizontal="right" vertical="center" wrapText="1"/>
    </xf>
    <xf numFmtId="168" fontId="4" fillId="2" borderId="14" xfId="6" applyNumberFormat="1" applyFont="1" applyFill="1" applyBorder="1" applyAlignment="1" applyProtection="1">
      <alignment horizontal="right" vertical="center" wrapText="1"/>
    </xf>
    <xf numFmtId="167" fontId="14" fillId="2" borderId="14" xfId="6" applyNumberFormat="1" applyFont="1" applyFill="1" applyBorder="1" applyAlignment="1" applyProtection="1">
      <alignment horizontal="right" vertical="center" wrapText="1"/>
    </xf>
    <xf numFmtId="172" fontId="12" fillId="2" borderId="18" xfId="6" applyNumberFormat="1" applyFont="1" applyFill="1" applyBorder="1" applyAlignment="1" applyProtection="1">
      <alignment horizontal="right" vertical="center" wrapText="1"/>
    </xf>
    <xf numFmtId="172" fontId="4" fillId="2" borderId="23" xfId="6" applyNumberFormat="1" applyFont="1" applyFill="1" applyBorder="1" applyAlignment="1" applyProtection="1">
      <alignment horizontal="right" vertical="center" wrapText="1"/>
    </xf>
    <xf numFmtId="173" fontId="4" fillId="2" borderId="23" xfId="6" applyNumberFormat="1" applyFont="1" applyFill="1" applyBorder="1" applyAlignment="1" applyProtection="1">
      <alignment horizontal="right" vertical="center" wrapText="1"/>
    </xf>
    <xf numFmtId="170" fontId="4" fillId="2" borderId="23" xfId="6" applyNumberFormat="1" applyFont="1" applyFill="1" applyBorder="1" applyAlignment="1" applyProtection="1">
      <alignment horizontal="right" vertical="center" wrapText="1"/>
    </xf>
    <xf numFmtId="3" fontId="14" fillId="2" borderId="23" xfId="6" applyNumberFormat="1" applyFont="1" applyFill="1" applyBorder="1" applyAlignment="1" applyProtection="1">
      <alignment horizontal="right" vertical="center" wrapText="1"/>
    </xf>
    <xf numFmtId="1" fontId="4" fillId="2" borderId="23" xfId="6" applyNumberFormat="1" applyFont="1" applyFill="1" applyBorder="1" applyAlignment="1" applyProtection="1">
      <alignment horizontal="right" vertical="center" wrapText="1"/>
    </xf>
    <xf numFmtId="3" fontId="14" fillId="2" borderId="10" xfId="6" applyNumberFormat="1" applyFont="1" applyFill="1" applyBorder="1" applyAlignment="1" applyProtection="1">
      <alignment horizontal="right" vertical="center" wrapText="1"/>
    </xf>
    <xf numFmtId="0" fontId="11" fillId="0" borderId="21" xfId="5" applyNumberFormat="1" applyFont="1" applyFill="1" applyBorder="1" applyAlignment="1" applyProtection="1">
      <alignment horizontal="right" vertical="top" wrapText="1"/>
    </xf>
    <xf numFmtId="0" fontId="5" fillId="2" borderId="0" xfId="0" applyFont="1" applyFill="1" applyAlignment="1">
      <alignment horizontal="left" vertical="top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/>
    </xf>
    <xf numFmtId="0" fontId="7" fillId="3" borderId="16" xfId="0" applyFont="1" applyFill="1" applyBorder="1" applyAlignment="1">
      <alignment horizontal="center"/>
    </xf>
    <xf numFmtId="0" fontId="7" fillId="3" borderId="17" xfId="0" applyFont="1" applyFill="1" applyBorder="1" applyAlignment="1">
      <alignment horizontal="center"/>
    </xf>
    <xf numFmtId="0" fontId="11" fillId="0" borderId="6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11" fillId="0" borderId="25" xfId="0" applyFont="1" applyBorder="1" applyAlignment="1">
      <alignment horizontal="left" vertical="top" wrapText="1"/>
    </xf>
    <xf numFmtId="0" fontId="10" fillId="0" borderId="6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</cellXfs>
  <cellStyles count="14">
    <cellStyle name="Komma" xfId="1" builtinId="3"/>
    <cellStyle name="Komma 2" xfId="4"/>
    <cellStyle name="Komma 3" xfId="6"/>
    <cellStyle name="Normale 2" xfId="13"/>
    <cellStyle name="Prozent" xfId="2" builtinId="5"/>
    <cellStyle name="Prozent 2" xfId="5"/>
    <cellStyle name="Standard" xfId="0" builtinId="0"/>
    <cellStyle name="Standard 2" xfId="3"/>
    <cellStyle name="Standard 2 2" xfId="10"/>
    <cellStyle name="Standard 2 3" xfId="7"/>
    <cellStyle name="Standard 3" xfId="8"/>
    <cellStyle name="Standard 4" xfId="9"/>
    <cellStyle name="Standard 4 2" xfId="11"/>
    <cellStyle name="Standard 5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781050</xdr:colOff>
      <xdr:row>0</xdr:row>
      <xdr:rowOff>19050</xdr:rowOff>
    </xdr:from>
    <xdr:to>
      <xdr:col>6</xdr:col>
      <xdr:colOff>219689</xdr:colOff>
      <xdr:row>4</xdr:row>
      <xdr:rowOff>145523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5200650" y="19050"/>
          <a:ext cx="2639039" cy="888473"/>
          <a:chOff x="6010275" y="133350"/>
          <a:chExt cx="2047875" cy="819150"/>
        </a:xfrm>
        <a:solidFill>
          <a:srgbClr val="00B0F0"/>
        </a:solidFill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6010275" y="133350"/>
            <a:ext cx="2047875" cy="819150"/>
          </a:xfrm>
          <a:prstGeom prst="rect">
            <a:avLst/>
          </a:prstGeom>
          <a:grpFill/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5" name="Gruppieren 4">
                <a:extLst>
                  <a:ext uri="{FF2B5EF4-FFF2-40B4-BE49-F238E27FC236}">
                    <a16:creationId xmlns:a16="http://schemas.microsoft.com/office/drawing/2014/main" id="{00000000-0008-0000-0000-000005000000}"/>
                  </a:ext>
                </a:extLst>
              </xdr:cNvPr>
              <xdr:cNvGrpSpPr/>
            </xdr:nvGrpSpPr>
            <xdr:grpSpPr>
              <a:xfrm>
                <a:off x="6553200" y="374273"/>
                <a:ext cx="1200152" cy="533405"/>
                <a:chOff x="6553200" y="374273"/>
                <a:chExt cx="1200152" cy="533405"/>
              </a:xfrm>
              <a:grpFill/>
            </xdr:grpSpPr>
            <xdr:sp macro="" textlink="">
              <xdr:nvSpPr>
                <xdr:cNvPr id="1025" name="Option Button 1" hidden="1">
                  <a:extLst>
                    <a:ext uri="{63B3BB69-23CF-44E3-9099-C40C66FF867C}">
                      <a14:compatExt spid="_x0000_s1025"/>
                    </a:ext>
                    <a:ext uri="{FF2B5EF4-FFF2-40B4-BE49-F238E27FC236}">
                      <a16:creationId xmlns:a16="http://schemas.microsoft.com/office/drawing/2014/main" id="{00000000-0008-0000-0000-000001040000}"/>
                    </a:ext>
                  </a:extLst>
                </xdr:cNvPr>
                <xdr:cNvSpPr/>
              </xdr:nvSpPr>
              <xdr:spPr bwMode="auto">
                <a:xfrm>
                  <a:off x="6553200" y="374273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Deutsch</a:t>
                  </a:r>
                </a:p>
              </xdr:txBody>
            </xdr:sp>
            <xdr:sp macro="" textlink="">
              <xdr:nvSpPr>
                <xdr:cNvPr id="1026" name="Option Button 2" hidden="1">
                  <a:extLst>
                    <a:ext uri="{63B3BB69-23CF-44E3-9099-C40C66FF867C}">
                      <a14:compatExt spid="_x0000_s1026"/>
                    </a:ext>
                    <a:ext uri="{FF2B5EF4-FFF2-40B4-BE49-F238E27FC236}">
                      <a16:creationId xmlns:a16="http://schemas.microsoft.com/office/drawing/2014/main" id="{00000000-0008-0000-0000-000002040000}"/>
                    </a:ext>
                  </a:extLst>
                </xdr:cNvPr>
                <xdr:cNvSpPr/>
              </xdr:nvSpPr>
              <xdr:spPr bwMode="auto">
                <a:xfrm>
                  <a:off x="6553200" y="545727"/>
                  <a:ext cx="1200152" cy="19050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Rumantsch Grischun</a:t>
                  </a:r>
                </a:p>
              </xdr:txBody>
            </xdr:sp>
            <xdr:sp macro="" textlink="">
              <xdr:nvSpPr>
                <xdr:cNvPr id="1027" name="Option Button 3" hidden="1">
                  <a:extLst>
                    <a:ext uri="{63B3BB69-23CF-44E3-9099-C40C66FF867C}">
                      <a14:compatExt spid="_x0000_s1027"/>
                    </a:ext>
                    <a:ext uri="{FF2B5EF4-FFF2-40B4-BE49-F238E27FC236}">
                      <a16:creationId xmlns:a16="http://schemas.microsoft.com/office/drawing/2014/main" id="{00000000-0008-0000-0000-000003040000}"/>
                    </a:ext>
                  </a:extLst>
                </xdr:cNvPr>
                <xdr:cNvSpPr/>
              </xdr:nvSpPr>
              <xdr:spPr bwMode="auto">
                <a:xfrm>
                  <a:off x="6553200" y="698127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Italiano</a:t>
                  </a:r>
                </a:p>
              </xdr:txBody>
            </xdr:sp>
          </xdr:grpSp>
        </mc:Choice>
        <mc:Fallback/>
      </mc:AlternateContent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549275</xdr:colOff>
      <xdr:row>5</xdr:row>
      <xdr:rowOff>4202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376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663575</xdr:colOff>
      <xdr:row>5</xdr:row>
      <xdr:rowOff>4202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28127"/>
        </a:xfrm>
        <a:prstGeom prst="rect">
          <a:avLst/>
        </a:prstGeom>
      </xdr:spPr>
    </xdr:pic>
    <xdr:clientData/>
  </xdr:twoCellAnchor>
  <xdr:twoCellAnchor>
    <xdr:from>
      <xdr:col>3</xdr:col>
      <xdr:colOff>82550</xdr:colOff>
      <xdr:row>0</xdr:row>
      <xdr:rowOff>19050</xdr:rowOff>
    </xdr:from>
    <xdr:to>
      <xdr:col>6</xdr:col>
      <xdr:colOff>321289</xdr:colOff>
      <xdr:row>4</xdr:row>
      <xdr:rowOff>145523</xdr:rowOff>
    </xdr:to>
    <xdr:grpSp>
      <xdr:nvGrpSpPr>
        <xdr:cNvPr id="9" name="Gruppieren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5187950" y="19050"/>
          <a:ext cx="2639039" cy="888473"/>
          <a:chOff x="6010275" y="133350"/>
          <a:chExt cx="2047875" cy="819150"/>
        </a:xfrm>
        <a:solidFill>
          <a:srgbClr val="00B0F0"/>
        </a:solidFill>
      </xdr:grpSpPr>
      <xdr:sp macro="" textlink="">
        <xdr:nvSpPr>
          <xdr:cNvPr id="10" name="Rechteck 9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6010275" y="133350"/>
            <a:ext cx="2047875" cy="819150"/>
          </a:xfrm>
          <a:prstGeom prst="rect">
            <a:avLst/>
          </a:prstGeom>
          <a:grpFill/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11" name="Gruppieren 10">
                <a:extLst>
                  <a:ext uri="{FF2B5EF4-FFF2-40B4-BE49-F238E27FC236}">
                    <a16:creationId xmlns:a16="http://schemas.microsoft.com/office/drawing/2014/main" id="{00000000-0008-0000-0000-000005000000}"/>
                  </a:ext>
                </a:extLst>
              </xdr:cNvPr>
              <xdr:cNvGrpSpPr/>
            </xdr:nvGrpSpPr>
            <xdr:grpSpPr>
              <a:xfrm>
                <a:off x="6553200" y="374273"/>
                <a:ext cx="1200152" cy="533405"/>
                <a:chOff x="6553200" y="374273"/>
                <a:chExt cx="1200152" cy="533405"/>
              </a:xfrm>
              <a:grpFill/>
            </xdr:grpSpPr>
            <xdr:sp macro="" textlink="">
              <xdr:nvSpPr>
                <xdr:cNvPr id="2052" name="Option Button 4" hidden="1">
                  <a:extLst>
                    <a:ext uri="{63B3BB69-23CF-44E3-9099-C40C66FF867C}">
                      <a14:compatExt spid="_x0000_s2052"/>
                    </a:ext>
                    <a:ext uri="{FF2B5EF4-FFF2-40B4-BE49-F238E27FC236}">
                      <a16:creationId xmlns:a16="http://schemas.microsoft.com/office/drawing/2014/main" id="{00000000-0008-0000-0000-000001040000}"/>
                    </a:ext>
                  </a:extLst>
                </xdr:cNvPr>
                <xdr:cNvSpPr/>
              </xdr:nvSpPr>
              <xdr:spPr bwMode="auto">
                <a:xfrm>
                  <a:off x="6553200" y="374273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Deutsch</a:t>
                  </a:r>
                </a:p>
              </xdr:txBody>
            </xdr:sp>
            <xdr:sp macro="" textlink="">
              <xdr:nvSpPr>
                <xdr:cNvPr id="2053" name="Option Button 5" hidden="1">
                  <a:extLst>
                    <a:ext uri="{63B3BB69-23CF-44E3-9099-C40C66FF867C}">
                      <a14:compatExt spid="_x0000_s2053"/>
                    </a:ext>
                    <a:ext uri="{FF2B5EF4-FFF2-40B4-BE49-F238E27FC236}">
                      <a16:creationId xmlns:a16="http://schemas.microsoft.com/office/drawing/2014/main" id="{00000000-0008-0000-0000-000002040000}"/>
                    </a:ext>
                  </a:extLst>
                </xdr:cNvPr>
                <xdr:cNvSpPr/>
              </xdr:nvSpPr>
              <xdr:spPr bwMode="auto">
                <a:xfrm>
                  <a:off x="6553200" y="545727"/>
                  <a:ext cx="1200152" cy="19050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Rumantsch Grischun</a:t>
                  </a:r>
                </a:p>
              </xdr:txBody>
            </xdr:sp>
            <xdr:sp macro="" textlink="">
              <xdr:nvSpPr>
                <xdr:cNvPr id="2054" name="Option Button 6" hidden="1">
                  <a:extLst>
                    <a:ext uri="{63B3BB69-23CF-44E3-9099-C40C66FF867C}">
                      <a14:compatExt spid="_x0000_s2054"/>
                    </a:ext>
                    <a:ext uri="{FF2B5EF4-FFF2-40B4-BE49-F238E27FC236}">
                      <a16:creationId xmlns:a16="http://schemas.microsoft.com/office/drawing/2014/main" id="{00000000-0008-0000-0000-000003040000}"/>
                    </a:ext>
                  </a:extLst>
                </xdr:cNvPr>
                <xdr:cNvSpPr/>
              </xdr:nvSpPr>
              <xdr:spPr bwMode="auto">
                <a:xfrm>
                  <a:off x="6553200" y="698127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Italiano</a:t>
                  </a:r>
                </a:p>
              </xdr:txBody>
            </xdr:sp>
          </xdr:grpSp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49"/>
  <sheetViews>
    <sheetView tabSelected="1" workbookViewId="0"/>
  </sheetViews>
  <sheetFormatPr baseColWidth="10" defaultColWidth="11.42578125" defaultRowHeight="12.75" x14ac:dyDescent="0.2"/>
  <cols>
    <col min="1" max="1" width="19.85546875" style="1" customWidth="1"/>
    <col min="2" max="2" width="46.42578125" style="1" customWidth="1"/>
    <col min="3" max="26" width="12" style="1" customWidth="1"/>
    <col min="27" max="16384" width="11.42578125" style="1"/>
  </cols>
  <sheetData>
    <row r="1" spans="1:26" s="2" customFormat="1" x14ac:dyDescent="0.2"/>
    <row r="2" spans="1:26" s="2" customFormat="1" ht="15.75" x14ac:dyDescent="0.25">
      <c r="B2" s="3"/>
      <c r="C2" s="1"/>
      <c r="D2" s="1"/>
    </row>
    <row r="3" spans="1:26" s="2" customFormat="1" ht="15.75" x14ac:dyDescent="0.25">
      <c r="B3" s="3"/>
      <c r="C3" s="1"/>
      <c r="D3" s="1"/>
    </row>
    <row r="4" spans="1:26" s="2" customFormat="1" ht="15.75" x14ac:dyDescent="0.25">
      <c r="B4" s="3"/>
      <c r="C4" s="1"/>
      <c r="D4" s="1"/>
    </row>
    <row r="5" spans="1:26" s="2" customFormat="1" x14ac:dyDescent="0.2"/>
    <row r="6" spans="1:26" s="2" customFormat="1" x14ac:dyDescent="0.2"/>
    <row r="7" spans="1:26" s="2" customFormat="1" ht="15.75" customHeight="1" x14ac:dyDescent="0.2">
      <c r="A7" s="100" t="str">
        <f>VLOOKUP("&lt;Fachbereich&gt;",Uebersetzungen!$B$3:$E$200,Uebersetzungen!$B$2+1,FALSE)</f>
        <v>Daten &amp; Statistik</v>
      </c>
      <c r="B7" s="100"/>
      <c r="C7" s="4"/>
      <c r="D7" s="4"/>
      <c r="E7" s="4"/>
      <c r="F7" s="4"/>
      <c r="G7" s="4"/>
      <c r="H7" s="4"/>
    </row>
    <row r="8" spans="1:26" s="2" customFormat="1" x14ac:dyDescent="0.2"/>
    <row r="9" spans="1:26" s="8" customFormat="1" ht="18" x14ac:dyDescent="0.2">
      <c r="A9" s="20" t="str">
        <f>VLOOKUP("&lt;Titel&gt;",Uebersetzungen!$B$3:$E$200,Uebersetzungen!$B$2+1,FALSE)</f>
        <v>Arbeitsmarktstatus nach Kanton</v>
      </c>
      <c r="B9" s="5"/>
      <c r="C9" s="5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7"/>
    </row>
    <row r="10" spans="1:26" s="8" customFormat="1" ht="15" x14ac:dyDescent="0.2">
      <c r="A10" s="21" t="str">
        <f>VLOOKUP("&lt;UTitel&gt;",Uebersetzungen!$B$3:$E$200,Uebersetzungen!$B$2+1,FALSE)</f>
        <v>Ständige schweizerische Wohnbevölkerung ab 15 Jahren</v>
      </c>
      <c r="B10" s="5"/>
      <c r="C10" s="5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7"/>
    </row>
    <row r="11" spans="1:26" s="8" customFormat="1" ht="15.75" thickBot="1" x14ac:dyDescent="0.25">
      <c r="A11" s="21"/>
      <c r="B11" s="5"/>
      <c r="C11" s="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7"/>
    </row>
    <row r="12" spans="1:26" ht="18.75" thickBot="1" x14ac:dyDescent="0.3">
      <c r="C12" s="105">
        <v>2023</v>
      </c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7"/>
    </row>
    <row r="13" spans="1:26" ht="39" customHeight="1" thickBot="1" x14ac:dyDescent="0.25">
      <c r="A13" s="10"/>
      <c r="B13" s="16"/>
      <c r="C13" s="101" t="str">
        <f>VLOOKUP("&lt;SpaltenTitel_1&gt;",Uebersetzungen!$B$3:$E$200,Uebersetzungen!$B$2+1,FALSE)</f>
        <v>Total</v>
      </c>
      <c r="D13" s="102"/>
      <c r="E13" s="101" t="str">
        <f>VLOOKUP("&lt;SpaltenTitel_2&gt;",Uebersetzungen!$B$3:$E$200,Uebersetzungen!$B$2+1,FALSE)</f>
        <v>Erwerbspersonen</v>
      </c>
      <c r="F13" s="102"/>
      <c r="G13" s="101" t="str">
        <f>VLOOKUP("&lt;SpaltenTitel_3&gt;",Uebersetzungen!$B$3:$E$200,Uebersetzungen!$B$2+1,FALSE)</f>
        <v>Erwerbstätige</v>
      </c>
      <c r="H13" s="102"/>
      <c r="I13" s="101" t="str">
        <f>VLOOKUP("&lt;SpaltenTitel_4&gt;",Uebersetzungen!$B$3:$E$200,Uebersetzungen!$B$2+1,FALSE)</f>
        <v>Vollzeiterwerbstätige (90-100%)</v>
      </c>
      <c r="J13" s="102"/>
      <c r="K13" s="101" t="str">
        <f>VLOOKUP("&lt;SpaltenTitel_5&gt;",Uebersetzungen!$B$3:$E$200,Uebersetzungen!$B$2+1,FALSE)</f>
        <v>Teilzeiterwerbstätige I (70-89%)</v>
      </c>
      <c r="L13" s="102"/>
      <c r="M13" s="101" t="str">
        <f>VLOOKUP("&lt;SpaltenTitel_6&gt;",Uebersetzungen!$B$3:$E$200,Uebersetzungen!$B$2+1,FALSE)</f>
        <v>Teilzeiterwerbstätige II (50-69%)</v>
      </c>
      <c r="N13" s="102"/>
      <c r="O13" s="101" t="str">
        <f>VLOOKUP("&lt;SpaltenTitel_7&gt;",Uebersetzungen!$B$3:$E$200,Uebersetzungen!$B$2+1,FALSE)</f>
        <v>Teilzeiterwerbstätige III (weniger als 50%)</v>
      </c>
      <c r="P13" s="102"/>
      <c r="Q13" s="101" t="str">
        <f>VLOOKUP("&lt;SpaltenTitel_8&gt;",Uebersetzungen!$B$3:$E$200,Uebersetzungen!$B$2+1,FALSE)</f>
        <v>Erwerbslose</v>
      </c>
      <c r="R13" s="102"/>
      <c r="S13" s="101" t="str">
        <f>VLOOKUP("&lt;SpaltenTitel_9&gt;",Uebersetzungen!$B$3:$E$200,Uebersetzungen!$B$2+1,FALSE)</f>
        <v>Nichterwerbspersonen in Ausbildung</v>
      </c>
      <c r="T13" s="102"/>
      <c r="U13" s="101" t="str">
        <f>VLOOKUP("&lt;SpaltenTitel_10&gt;",Uebersetzungen!$B$3:$E$200,Uebersetzungen!$B$2+1,FALSE)</f>
        <v>Hausfrauen/Hausmänner</v>
      </c>
      <c r="V13" s="104"/>
      <c r="W13" s="101" t="str">
        <f>VLOOKUP("&lt;SpaltenTitel_11&gt;",Uebersetzungen!$B$3:$E$200,Uebersetzungen!$B$2+1,FALSE)</f>
        <v>Rentner/innen (AHV, IV)</v>
      </c>
      <c r="X13" s="103"/>
      <c r="Y13" s="104" t="str">
        <f>VLOOKUP("&lt;SpaltenTitel_12&gt;",Uebersetzungen!$B$3:$E$200,Uebersetzungen!$B$2+1,FALSE)</f>
        <v>Andere Nichterwerbspersonen</v>
      </c>
      <c r="Z13" s="103"/>
    </row>
    <row r="14" spans="1:26" ht="39.75" customHeight="1" thickBot="1" x14ac:dyDescent="0.25">
      <c r="A14" s="22"/>
      <c r="B14" s="23"/>
      <c r="C14" s="47" t="str">
        <f>VLOOKUP("&lt;SpaltenTitel_1.1&gt;",Uebersetzungen!$B$3:$E$200,Uebersetzungen!$B$2+1,FALSE)</f>
        <v>Anzahl Personen</v>
      </c>
      <c r="D14" s="48" t="str">
        <f>VLOOKUP("&lt;SpaltenTitel_1.2&gt;",Uebersetzungen!$B$3:$E$200,Uebersetzungen!$B$2+1,FALSE)</f>
        <v>Vertrauens- intervall:          ± (in %)</v>
      </c>
      <c r="E14" s="47" t="str">
        <f>VLOOKUP("&lt;SpaltenTitel_1.1&gt;",Uebersetzungen!$B$3:$E$200,Uebersetzungen!$B$2+1,FALSE)</f>
        <v>Anzahl Personen</v>
      </c>
      <c r="F14" s="48" t="str">
        <f>VLOOKUP("&lt;SpaltenTitel_1.2&gt;",Uebersetzungen!$B$3:$E$200,Uebersetzungen!$B$2+1,FALSE)</f>
        <v>Vertrauens- intervall:          ± (in %)</v>
      </c>
      <c r="G14" s="47" t="str">
        <f>VLOOKUP("&lt;SpaltenTitel_1.1&gt;",Uebersetzungen!$B$3:$E$200,Uebersetzungen!$B$2+1,FALSE)</f>
        <v>Anzahl Personen</v>
      </c>
      <c r="H14" s="48" t="str">
        <f>VLOOKUP("&lt;SpaltenTitel_1.2&gt;",Uebersetzungen!$B$3:$E$200,Uebersetzungen!$B$2+1,FALSE)</f>
        <v>Vertrauens- intervall:          ± (in %)</v>
      </c>
      <c r="I14" s="47" t="str">
        <f>VLOOKUP("&lt;SpaltenTitel_1.1&gt;",Uebersetzungen!$B$3:$E$200,Uebersetzungen!$B$2+1,FALSE)</f>
        <v>Anzahl Personen</v>
      </c>
      <c r="J14" s="48" t="str">
        <f>VLOOKUP("&lt;SpaltenTitel_1.2&gt;",Uebersetzungen!$B$3:$E$200,Uebersetzungen!$B$2+1,FALSE)</f>
        <v>Vertrauens- intervall:          ± (in %)</v>
      </c>
      <c r="K14" s="47" t="str">
        <f>VLOOKUP("&lt;SpaltenTitel_1.1&gt;",Uebersetzungen!$B$3:$E$200,Uebersetzungen!$B$2+1,FALSE)</f>
        <v>Anzahl Personen</v>
      </c>
      <c r="L14" s="48" t="str">
        <f>VLOOKUP("&lt;SpaltenTitel_1.2&gt;",Uebersetzungen!$B$3:$E$200,Uebersetzungen!$B$2+1,FALSE)</f>
        <v>Vertrauens- intervall:          ± (in %)</v>
      </c>
      <c r="M14" s="47" t="str">
        <f>VLOOKUP("&lt;SpaltenTitel_1.1&gt;",Uebersetzungen!$B$3:$E$200,Uebersetzungen!$B$2+1,FALSE)</f>
        <v>Anzahl Personen</v>
      </c>
      <c r="N14" s="48" t="str">
        <f>VLOOKUP("&lt;SpaltenTitel_1.2&gt;",Uebersetzungen!$B$3:$E$200,Uebersetzungen!$B$2+1,FALSE)</f>
        <v>Vertrauens- intervall:          ± (in %)</v>
      </c>
      <c r="O14" s="47" t="str">
        <f>VLOOKUP("&lt;SpaltenTitel_1.1&gt;",Uebersetzungen!$B$3:$E$200,Uebersetzungen!$B$2+1,FALSE)</f>
        <v>Anzahl Personen</v>
      </c>
      <c r="P14" s="48" t="str">
        <f>VLOOKUP("&lt;SpaltenTitel_1.2&gt;",Uebersetzungen!$B$3:$E$200,Uebersetzungen!$B$2+1,FALSE)</f>
        <v>Vertrauens- intervall:          ± (in %)</v>
      </c>
      <c r="Q14" s="47" t="str">
        <f>VLOOKUP("&lt;SpaltenTitel_1.1&gt;",Uebersetzungen!$B$3:$E$200,Uebersetzungen!$B$2+1,FALSE)</f>
        <v>Anzahl Personen</v>
      </c>
      <c r="R14" s="48" t="str">
        <f>VLOOKUP("&lt;SpaltenTitel_1.2&gt;",Uebersetzungen!$B$3:$E$200,Uebersetzungen!$B$2+1,FALSE)</f>
        <v>Vertrauens- intervall:          ± (in %)</v>
      </c>
      <c r="S14" s="47" t="str">
        <f>VLOOKUP("&lt;SpaltenTitel_1.1&gt;",Uebersetzungen!$B$3:$E$200,Uebersetzungen!$B$2+1,FALSE)</f>
        <v>Anzahl Personen</v>
      </c>
      <c r="T14" s="48" t="str">
        <f>VLOOKUP("&lt;SpaltenTitel_1.2&gt;",Uebersetzungen!$B$3:$E$200,Uebersetzungen!$B$2+1,FALSE)</f>
        <v>Vertrauens- intervall:          ± (in %)</v>
      </c>
      <c r="U14" s="47" t="str">
        <f>VLOOKUP("&lt;SpaltenTitel_1.1&gt;",Uebersetzungen!$B$3:$E$200,Uebersetzungen!$B$2+1,FALSE)</f>
        <v>Anzahl Personen</v>
      </c>
      <c r="V14" s="49" t="str">
        <f>VLOOKUP("&lt;SpaltenTitel_1.2&gt;",Uebersetzungen!$B$3:$E$200,Uebersetzungen!$B$2+1,FALSE)</f>
        <v>Vertrauens- intervall:          ± (in %)</v>
      </c>
      <c r="W14" s="50" t="s">
        <v>0</v>
      </c>
      <c r="X14" s="51" t="s">
        <v>1</v>
      </c>
      <c r="Y14" s="60" t="s">
        <v>0</v>
      </c>
      <c r="Z14" s="51" t="s">
        <v>1</v>
      </c>
    </row>
    <row r="15" spans="1:26" ht="12" customHeight="1" x14ac:dyDescent="0.2">
      <c r="A15" s="111" t="str">
        <f>VLOOKUP("&lt;Zeilentitel_1&gt;",Uebersetzungen!$B$3:$E$199,Uebersetzungen!$B$2+1,FALSE)</f>
        <v>Total</v>
      </c>
      <c r="B15" s="112"/>
      <c r="C15" s="69">
        <v>7424121.9999999823</v>
      </c>
      <c r="D15" s="61">
        <v>5.4624157975364671E-2</v>
      </c>
      <c r="E15" s="62">
        <v>4769784.3848598516</v>
      </c>
      <c r="F15" s="78">
        <v>0.29743764334010214</v>
      </c>
      <c r="G15" s="79">
        <v>4553575.7732255226</v>
      </c>
      <c r="H15" s="61">
        <v>0.31335813358670361</v>
      </c>
      <c r="I15" s="79">
        <v>3090544.9338324522</v>
      </c>
      <c r="J15" s="61">
        <v>0.46857315849371445</v>
      </c>
      <c r="K15" s="80">
        <v>547331.89057360112</v>
      </c>
      <c r="L15" s="61">
        <v>1.358404167814719</v>
      </c>
      <c r="M15" s="80">
        <v>454917.80021156656</v>
      </c>
      <c r="N15" s="61">
        <v>1.5156230268737856</v>
      </c>
      <c r="O15" s="80">
        <v>460781.14860789513</v>
      </c>
      <c r="P15" s="61">
        <v>1.5186327528057029</v>
      </c>
      <c r="Q15" s="80">
        <v>216208.61163433341</v>
      </c>
      <c r="R15" s="61">
        <v>2.3057819750457065</v>
      </c>
      <c r="S15" s="80">
        <v>436910.68267132051</v>
      </c>
      <c r="T15" s="61">
        <v>1.5995664069849649</v>
      </c>
      <c r="U15" s="80">
        <v>240500.0456005045</v>
      </c>
      <c r="V15" s="61">
        <v>2.1709067489596356</v>
      </c>
      <c r="W15" s="79">
        <v>1768725.3753057176</v>
      </c>
      <c r="X15" s="61">
        <v>0.65933682247376535</v>
      </c>
      <c r="Y15" s="80">
        <v>208201.51156259127</v>
      </c>
      <c r="Z15" s="63">
        <v>2.3903980291404223</v>
      </c>
    </row>
    <row r="16" spans="1:26" x14ac:dyDescent="0.2">
      <c r="A16" s="108" t="str">
        <f>VLOOKUP("&lt;Zeilentitel_2&gt;",Uebersetzungen!$B$3:$E$199,Uebersetzungen!$B$2+1,FALSE)</f>
        <v>Kanton</v>
      </c>
      <c r="B16" s="54" t="str">
        <f>VLOOKUP("&lt;Zeilentitel_2.1&gt;",Uebersetzungen!$B$3:$E$199,Uebersetzungen!$B$2+1,FALSE)</f>
        <v>Zürich</v>
      </c>
      <c r="C16" s="70">
        <v>1333436.0000000042</v>
      </c>
      <c r="D16" s="56">
        <v>0.1427571099264037</v>
      </c>
      <c r="E16" s="74">
        <v>908273.81399324769</v>
      </c>
      <c r="F16" s="56">
        <v>0.71261358232162697</v>
      </c>
      <c r="G16" s="75">
        <v>871399.3889474615</v>
      </c>
      <c r="H16" s="56">
        <v>0.75249191617005107</v>
      </c>
      <c r="I16" s="75">
        <v>600414.7224945121</v>
      </c>
      <c r="J16" s="56">
        <v>1.1400613065677576</v>
      </c>
      <c r="K16" s="75">
        <v>109938.04232611923</v>
      </c>
      <c r="L16" s="56">
        <v>3.3201888645398383</v>
      </c>
      <c r="M16" s="75">
        <v>83557.485960303471</v>
      </c>
      <c r="N16" s="56">
        <v>3.8835320808789606</v>
      </c>
      <c r="O16" s="75">
        <v>77489.138166527817</v>
      </c>
      <c r="P16" s="56">
        <v>4.0766756153925501</v>
      </c>
      <c r="Q16" s="75">
        <v>36874.425045787066</v>
      </c>
      <c r="R16" s="56">
        <v>6.3297120596254377</v>
      </c>
      <c r="S16" s="75">
        <v>69096.360265550466</v>
      </c>
      <c r="T16" s="56">
        <v>4.6106162588952238</v>
      </c>
      <c r="U16" s="75">
        <v>41925.44925646481</v>
      </c>
      <c r="V16" s="56">
        <v>5.7701219965491717</v>
      </c>
      <c r="W16" s="75">
        <v>276242.98030316527</v>
      </c>
      <c r="X16" s="56">
        <v>1.8863157717881867</v>
      </c>
      <c r="Y16" s="75">
        <v>37897.396181574215</v>
      </c>
      <c r="Z16" s="64">
        <v>6.2635740365664265</v>
      </c>
    </row>
    <row r="17" spans="1:26" x14ac:dyDescent="0.2">
      <c r="A17" s="109"/>
      <c r="B17" s="29" t="str">
        <f>VLOOKUP("&lt;Zeilentitel_2.2&gt;",Uebersetzungen!$B$3:$E$199,Uebersetzungen!$B$2+1,FALSE)</f>
        <v>Bern</v>
      </c>
      <c r="C17" s="71">
        <v>888558.00000001362</v>
      </c>
      <c r="D17" s="56">
        <v>0.14802321954759898</v>
      </c>
      <c r="E17" s="75">
        <v>570144.96103453927</v>
      </c>
      <c r="F17" s="56">
        <v>0.94077447734488007</v>
      </c>
      <c r="G17" s="75">
        <v>553464.34325556515</v>
      </c>
      <c r="H17" s="56">
        <v>0.97329075845830437</v>
      </c>
      <c r="I17" s="75">
        <v>349230.68328647339</v>
      </c>
      <c r="J17" s="56">
        <v>1.5528058163392144</v>
      </c>
      <c r="K17" s="75">
        <v>77526.365226585738</v>
      </c>
      <c r="L17" s="56">
        <v>3.892712135555461</v>
      </c>
      <c r="M17" s="75">
        <v>63116.951310568773</v>
      </c>
      <c r="N17" s="56">
        <v>4.3862010385614543</v>
      </c>
      <c r="O17" s="75">
        <v>63590.343431937348</v>
      </c>
      <c r="P17" s="56">
        <v>4.4144645236204223</v>
      </c>
      <c r="Q17" s="75">
        <v>16680.617778974418</v>
      </c>
      <c r="R17" s="56">
        <v>9.4282016021804846</v>
      </c>
      <c r="S17" s="75">
        <v>41230.0278446878</v>
      </c>
      <c r="T17" s="56">
        <v>5.7372972630473358</v>
      </c>
      <c r="U17" s="75">
        <v>23811.937880888065</v>
      </c>
      <c r="V17" s="56">
        <v>7.6018071736913733</v>
      </c>
      <c r="W17" s="75">
        <v>230713.60174885605</v>
      </c>
      <c r="X17" s="56">
        <v>1.9723088688678889</v>
      </c>
      <c r="Y17" s="75">
        <v>22657.471491041986</v>
      </c>
      <c r="Z17" s="64">
        <v>7.9796563544745096</v>
      </c>
    </row>
    <row r="18" spans="1:26" x14ac:dyDescent="0.2">
      <c r="A18" s="109"/>
      <c r="B18" s="29" t="str">
        <f>VLOOKUP("&lt;Zeilentitel_2.3&gt;",Uebersetzungen!$B$3:$E$199,Uebersetzungen!$B$2+1,FALSE)</f>
        <v>Luzern</v>
      </c>
      <c r="C18" s="71">
        <v>358552.99999999325</v>
      </c>
      <c r="D18" s="56">
        <v>0.19826529697962769</v>
      </c>
      <c r="E18" s="75">
        <v>240873.95727772149</v>
      </c>
      <c r="F18" s="56">
        <v>0.98750729574408191</v>
      </c>
      <c r="G18" s="75">
        <v>233403.22700715836</v>
      </c>
      <c r="H18" s="56">
        <v>1.024599405647509</v>
      </c>
      <c r="I18" s="75">
        <v>156826.84631819237</v>
      </c>
      <c r="J18" s="56">
        <v>1.5849890346572582</v>
      </c>
      <c r="K18" s="75">
        <v>24964.138333192423</v>
      </c>
      <c r="L18" s="56">
        <v>4.8977721197127142</v>
      </c>
      <c r="M18" s="75">
        <v>23458.358103910286</v>
      </c>
      <c r="N18" s="56">
        <v>5.0944112054453026</v>
      </c>
      <c r="O18" s="75">
        <v>28153.884251863525</v>
      </c>
      <c r="P18" s="56">
        <v>4.6341271011459133</v>
      </c>
      <c r="Q18" s="75">
        <v>7470.7302705630391</v>
      </c>
      <c r="R18" s="56">
        <v>10.142805703545271</v>
      </c>
      <c r="S18" s="75">
        <v>17748.326743853737</v>
      </c>
      <c r="T18" s="56">
        <v>6.2832235445699514</v>
      </c>
      <c r="U18" s="75">
        <v>10563.190643153666</v>
      </c>
      <c r="V18" s="56">
        <v>8.0948512880037349</v>
      </c>
      <c r="W18" s="75">
        <v>80714.943838479492</v>
      </c>
      <c r="X18" s="56">
        <v>2.4156345989255557</v>
      </c>
      <c r="Y18" s="75">
        <v>8652.5814967847073</v>
      </c>
      <c r="Z18" s="64">
        <v>9.2595015066984701</v>
      </c>
    </row>
    <row r="19" spans="1:26" x14ac:dyDescent="0.2">
      <c r="A19" s="109"/>
      <c r="B19" s="29" t="str">
        <f>VLOOKUP("&lt;Zeilentitel_2.4&gt;",Uebersetzungen!$B$3:$E$199,Uebersetzungen!$B$2+1,FALSE)</f>
        <v>Uri</v>
      </c>
      <c r="C19" s="71">
        <v>31562.000000000065</v>
      </c>
      <c r="D19" s="56">
        <v>1.1178706080999914</v>
      </c>
      <c r="E19" s="75">
        <v>19797.466535410058</v>
      </c>
      <c r="F19" s="56">
        <v>5.4024154180793929</v>
      </c>
      <c r="G19" s="75">
        <v>19337.77464301388</v>
      </c>
      <c r="H19" s="56">
        <v>5.4874023125573252</v>
      </c>
      <c r="I19" s="75">
        <v>12778.360605213529</v>
      </c>
      <c r="J19" s="56">
        <v>8.2419836717163975</v>
      </c>
      <c r="K19" s="75">
        <v>2030.6332639179991</v>
      </c>
      <c r="L19" s="56">
        <v>25.710959278854805</v>
      </c>
      <c r="M19" s="81">
        <v>1411.6110838851337</v>
      </c>
      <c r="N19" s="59">
        <v>29.889066409245281</v>
      </c>
      <c r="O19" s="75">
        <v>3117.1696899972167</v>
      </c>
      <c r="P19" s="56">
        <v>19.83989458871255</v>
      </c>
      <c r="Q19" s="82">
        <v>459.6918923961851</v>
      </c>
      <c r="R19" s="59">
        <v>66.119635221169432</v>
      </c>
      <c r="S19" s="81">
        <v>1302.8170411234632</v>
      </c>
      <c r="T19" s="59">
        <v>30.798299714269326</v>
      </c>
      <c r="U19" s="81">
        <v>1422.2915077767466</v>
      </c>
      <c r="V19" s="59">
        <v>31.044602592349534</v>
      </c>
      <c r="W19" s="75">
        <v>8242.8126931135448</v>
      </c>
      <c r="X19" s="56">
        <v>10.464946881569588</v>
      </c>
      <c r="Y19" s="82">
        <v>796.61222257624422</v>
      </c>
      <c r="Z19" s="65">
        <v>41.453637156278077</v>
      </c>
    </row>
    <row r="20" spans="1:26" x14ac:dyDescent="0.2">
      <c r="A20" s="109"/>
      <c r="B20" s="29" t="str">
        <f>VLOOKUP("&lt;Zeilentitel_2.5&gt;",Uebersetzungen!$B$3:$E$199,Uebersetzungen!$B$2+1,FALSE)</f>
        <v>Schwyz</v>
      </c>
      <c r="C20" s="71">
        <v>140630.99999999991</v>
      </c>
      <c r="D20" s="56">
        <v>0.39258717642498714</v>
      </c>
      <c r="E20" s="75">
        <v>93280.820008192095</v>
      </c>
      <c r="F20" s="56">
        <v>2.2195263576203459</v>
      </c>
      <c r="G20" s="75">
        <v>90567.942646790296</v>
      </c>
      <c r="H20" s="56">
        <v>2.2989425162461381</v>
      </c>
      <c r="I20" s="75">
        <v>63039.61668413438</v>
      </c>
      <c r="J20" s="56">
        <v>3.4509689276868132</v>
      </c>
      <c r="K20" s="75">
        <v>9067.7365867492954</v>
      </c>
      <c r="L20" s="56">
        <v>11.566862842454217</v>
      </c>
      <c r="M20" s="75">
        <v>7551.2338687274732</v>
      </c>
      <c r="N20" s="56">
        <v>12.752437996471331</v>
      </c>
      <c r="O20" s="75">
        <v>10909.355507179174</v>
      </c>
      <c r="P20" s="56">
        <v>10.512076559695062</v>
      </c>
      <c r="Q20" s="75">
        <v>2712.87736140176</v>
      </c>
      <c r="R20" s="56">
        <v>23.725292746624039</v>
      </c>
      <c r="S20" s="75">
        <v>6988.9162639731549</v>
      </c>
      <c r="T20" s="56">
        <v>14.316356426563065</v>
      </c>
      <c r="U20" s="75">
        <v>5480.4371425289992</v>
      </c>
      <c r="V20" s="56">
        <v>15.523553965385776</v>
      </c>
      <c r="W20" s="75">
        <v>31647.223758875298</v>
      </c>
      <c r="X20" s="56">
        <v>5.6714683814229918</v>
      </c>
      <c r="Y20" s="75">
        <v>3233.6028264303577</v>
      </c>
      <c r="Z20" s="64">
        <v>21.375949543143868</v>
      </c>
    </row>
    <row r="21" spans="1:26" x14ac:dyDescent="0.2">
      <c r="A21" s="109"/>
      <c r="B21" s="29" t="str">
        <f>VLOOKUP("&lt;Zeilentitel_2.6&gt;",Uebersetzungen!$B$3:$E$199,Uebersetzungen!$B$2+1,FALSE)</f>
        <v>Obwalden</v>
      </c>
      <c r="C21" s="71">
        <v>32753.000000000215</v>
      </c>
      <c r="D21" s="56">
        <v>0.85061838595663042</v>
      </c>
      <c r="E21" s="75">
        <v>21394.503069662795</v>
      </c>
      <c r="F21" s="56">
        <v>4.7815848570167763</v>
      </c>
      <c r="G21" s="75">
        <v>21067.729681794022</v>
      </c>
      <c r="H21" s="56">
        <v>4.8731363800831193</v>
      </c>
      <c r="I21" s="75">
        <v>14800.224714821805</v>
      </c>
      <c r="J21" s="56">
        <v>7.2035764426763969</v>
      </c>
      <c r="K21" s="75">
        <v>1951.9798745420753</v>
      </c>
      <c r="L21" s="56">
        <v>24.55209041209298</v>
      </c>
      <c r="M21" s="75">
        <v>2078.6261978903112</v>
      </c>
      <c r="N21" s="56">
        <v>23.529670014005546</v>
      </c>
      <c r="O21" s="75">
        <v>2236.8988945398314</v>
      </c>
      <c r="P21" s="56">
        <v>22.538424927250173</v>
      </c>
      <c r="Q21" s="82">
        <v>326.77338786877459</v>
      </c>
      <c r="R21" s="59">
        <v>64.847106033459909</v>
      </c>
      <c r="S21" s="81">
        <v>1459.7836435738666</v>
      </c>
      <c r="T21" s="59">
        <v>29.844196834117103</v>
      </c>
      <c r="U21" s="81">
        <v>1001.3869372279847</v>
      </c>
      <c r="V21" s="59">
        <v>34.835004366214534</v>
      </c>
      <c r="W21" s="75">
        <v>8113.7270088000696</v>
      </c>
      <c r="X21" s="56">
        <v>10.250653463110606</v>
      </c>
      <c r="Y21" s="82">
        <v>783.59934073549607</v>
      </c>
      <c r="Z21" s="65">
        <v>41.181738276541921</v>
      </c>
    </row>
    <row r="22" spans="1:26" x14ac:dyDescent="0.2">
      <c r="A22" s="109"/>
      <c r="B22" s="29" t="str">
        <f>VLOOKUP("&lt;Zeilentitel_2.7&gt;",Uebersetzungen!$B$3:$E$199,Uebersetzungen!$B$2+1,FALSE)</f>
        <v>Nidwalden</v>
      </c>
      <c r="C22" s="71">
        <v>38257.999999999964</v>
      </c>
      <c r="D22" s="56">
        <v>0.92153462067466996</v>
      </c>
      <c r="E22" s="75">
        <v>25345.915621028278</v>
      </c>
      <c r="F22" s="56">
        <v>4.3556973458440664</v>
      </c>
      <c r="G22" s="75">
        <v>24792.334018335809</v>
      </c>
      <c r="H22" s="56">
        <v>4.4815952388135036</v>
      </c>
      <c r="I22" s="75">
        <v>17603.664051354797</v>
      </c>
      <c r="J22" s="56">
        <v>6.6178814898664973</v>
      </c>
      <c r="K22" s="75">
        <v>2240.4460792534251</v>
      </c>
      <c r="L22" s="56">
        <v>22.987397454445038</v>
      </c>
      <c r="M22" s="75">
        <v>2605.3487370186695</v>
      </c>
      <c r="N22" s="56">
        <v>21.530530435373691</v>
      </c>
      <c r="O22" s="75">
        <v>2342.8751507089241</v>
      </c>
      <c r="P22" s="56">
        <v>22.615569308453807</v>
      </c>
      <c r="Q22" s="82">
        <v>553.58160269246332</v>
      </c>
      <c r="R22" s="59">
        <v>50.503278107754134</v>
      </c>
      <c r="S22" s="81">
        <v>1151.2928007282101</v>
      </c>
      <c r="T22" s="59">
        <v>36.288894679692746</v>
      </c>
      <c r="U22" s="81">
        <v>1174.2439664829735</v>
      </c>
      <c r="V22" s="59">
        <v>34.069236883718752</v>
      </c>
      <c r="W22" s="75">
        <v>9920.9170576184115</v>
      </c>
      <c r="X22" s="56">
        <v>9.7394247112431778</v>
      </c>
      <c r="Y22" s="82">
        <v>665.63055414208418</v>
      </c>
      <c r="Z22" s="65">
        <v>47.276844722218975</v>
      </c>
    </row>
    <row r="23" spans="1:26" x14ac:dyDescent="0.2">
      <c r="A23" s="109"/>
      <c r="B23" s="29" t="str">
        <f>VLOOKUP("&lt;Zeilentitel_2.8&gt;",Uebersetzungen!$B$3:$E$199,Uebersetzungen!$B$2+1,FALSE)</f>
        <v>Glarus</v>
      </c>
      <c r="C23" s="71">
        <v>34960.000000000007</v>
      </c>
      <c r="D23" s="56">
        <v>1.030887122978164</v>
      </c>
      <c r="E23" s="75">
        <v>21854.891657370616</v>
      </c>
      <c r="F23" s="56">
        <v>5.2594179322208401</v>
      </c>
      <c r="G23" s="75">
        <v>21298.514977159852</v>
      </c>
      <c r="H23" s="56">
        <v>5.4052679005571269</v>
      </c>
      <c r="I23" s="75">
        <v>14552.136209766617</v>
      </c>
      <c r="J23" s="56">
        <v>7.8965030746395097</v>
      </c>
      <c r="K23" s="81">
        <v>1719.9179616571701</v>
      </c>
      <c r="L23" s="59">
        <v>28.375412911868725</v>
      </c>
      <c r="M23" s="75">
        <v>2775.6168893418812</v>
      </c>
      <c r="N23" s="56">
        <v>22.069849643660099</v>
      </c>
      <c r="O23" s="75">
        <v>2250.843916394183</v>
      </c>
      <c r="P23" s="56">
        <v>24.361684056808365</v>
      </c>
      <c r="Q23" s="82">
        <v>556.37668021075558</v>
      </c>
      <c r="R23" s="59">
        <v>54.261888021040114</v>
      </c>
      <c r="S23" s="81">
        <v>1154.1995506901285</v>
      </c>
      <c r="T23" s="59">
        <v>37.320380667136661</v>
      </c>
      <c r="U23" s="81">
        <v>1088.5933293953362</v>
      </c>
      <c r="V23" s="59">
        <v>37.798854527008174</v>
      </c>
      <c r="W23" s="75">
        <v>9700.6231625043947</v>
      </c>
      <c r="X23" s="56">
        <v>9.6391902975433421</v>
      </c>
      <c r="Y23" s="81">
        <v>1161.6923000395336</v>
      </c>
      <c r="Z23" s="65">
        <v>36.440368403931551</v>
      </c>
    </row>
    <row r="24" spans="1:26" x14ac:dyDescent="0.2">
      <c r="A24" s="109"/>
      <c r="B24" s="29" t="str">
        <f>VLOOKUP("&lt;Zeilentitel_2.9&gt;",Uebersetzungen!$B$3:$E$199,Uebersetzungen!$B$2+1,FALSE)</f>
        <v>Zug</v>
      </c>
      <c r="C24" s="71">
        <v>110118.9999999985</v>
      </c>
      <c r="D24" s="56">
        <v>0.31952931198565032</v>
      </c>
      <c r="E24" s="75">
        <v>73238.183898983349</v>
      </c>
      <c r="F24" s="56">
        <v>1.7564812203336635</v>
      </c>
      <c r="G24" s="75">
        <v>70380.599386910646</v>
      </c>
      <c r="H24" s="56">
        <v>1.8472500646473031</v>
      </c>
      <c r="I24" s="75">
        <v>50096.192791868467</v>
      </c>
      <c r="J24" s="56">
        <v>2.6901653420063525</v>
      </c>
      <c r="K24" s="75">
        <v>6984.3790395685282</v>
      </c>
      <c r="L24" s="56">
        <v>9.1690699154206747</v>
      </c>
      <c r="M24" s="75">
        <v>6008.1306262686403</v>
      </c>
      <c r="N24" s="56">
        <v>10.026206050415134</v>
      </c>
      <c r="O24" s="75">
        <v>7291.8969292049806</v>
      </c>
      <c r="P24" s="56">
        <v>9.1048099252591381</v>
      </c>
      <c r="Q24" s="75">
        <v>2857.5845120726617</v>
      </c>
      <c r="R24" s="56">
        <v>15.583409062272409</v>
      </c>
      <c r="S24" s="75">
        <v>6451.2698605723253</v>
      </c>
      <c r="T24" s="56">
        <v>10.197456648482985</v>
      </c>
      <c r="U24" s="75">
        <v>4041.1236132978433</v>
      </c>
      <c r="V24" s="56">
        <v>12.871873322199519</v>
      </c>
      <c r="W24" s="75">
        <v>23421.0231246244</v>
      </c>
      <c r="X24" s="56">
        <v>4.5416097199615919</v>
      </c>
      <c r="Y24" s="75">
        <v>2967.3995025206646</v>
      </c>
      <c r="Z24" s="64">
        <v>15.286609738513921</v>
      </c>
    </row>
    <row r="25" spans="1:26" x14ac:dyDescent="0.2">
      <c r="A25" s="109"/>
      <c r="B25" s="29" t="str">
        <f>VLOOKUP("&lt;Zeilentitel_2.10&gt;",Uebersetzungen!$B$3:$E$199,Uebersetzungen!$B$2+1,FALSE)</f>
        <v>Freiburg</v>
      </c>
      <c r="C25" s="71">
        <v>279035.99999999773</v>
      </c>
      <c r="D25" s="56">
        <v>0.30535297827096092</v>
      </c>
      <c r="E25" s="75">
        <v>184307.70957031474</v>
      </c>
      <c r="F25" s="56">
        <v>1.6374990209753537</v>
      </c>
      <c r="G25" s="75">
        <v>175152.61245567194</v>
      </c>
      <c r="H25" s="56">
        <v>1.7366382448381956</v>
      </c>
      <c r="I25" s="75">
        <v>117246.20798554504</v>
      </c>
      <c r="J25" s="56">
        <v>2.6229064867704519</v>
      </c>
      <c r="K25" s="75">
        <v>22982.745871015428</v>
      </c>
      <c r="L25" s="56">
        <v>7.2813635454509473</v>
      </c>
      <c r="M25" s="75">
        <v>18935.790209276227</v>
      </c>
      <c r="N25" s="56">
        <v>8.1205086844543075</v>
      </c>
      <c r="O25" s="75">
        <v>15987.868389835419</v>
      </c>
      <c r="P25" s="56">
        <v>8.9743885323230064</v>
      </c>
      <c r="Q25" s="75">
        <v>9155.0971146427364</v>
      </c>
      <c r="R25" s="56">
        <v>12.761752444893302</v>
      </c>
      <c r="S25" s="75">
        <v>18757.338228005981</v>
      </c>
      <c r="T25" s="56">
        <v>8.3556440575970576</v>
      </c>
      <c r="U25" s="75">
        <v>8309.9302732608576</v>
      </c>
      <c r="V25" s="56">
        <v>13.099373044871282</v>
      </c>
      <c r="W25" s="75">
        <v>61134.866190989182</v>
      </c>
      <c r="X25" s="56">
        <v>3.9079227894608519</v>
      </c>
      <c r="Y25" s="75">
        <v>6526.1557374268705</v>
      </c>
      <c r="Z25" s="64">
        <v>14.869778038529507</v>
      </c>
    </row>
    <row r="26" spans="1:26" x14ac:dyDescent="0.2">
      <c r="A26" s="109"/>
      <c r="B26" s="29" t="str">
        <f>VLOOKUP("&lt;Zeilentitel_2.11&gt;",Uebersetzungen!$B$3:$E$199,Uebersetzungen!$B$2+1,FALSE)</f>
        <v>Solothurn</v>
      </c>
      <c r="C26" s="71">
        <v>240566.00000000355</v>
      </c>
      <c r="D26" s="56">
        <v>0.37068380482847685</v>
      </c>
      <c r="E26" s="75">
        <v>151841.49083136063</v>
      </c>
      <c r="F26" s="56">
        <v>1.8734901890552342</v>
      </c>
      <c r="G26" s="75">
        <v>145873.02959485812</v>
      </c>
      <c r="H26" s="56">
        <v>1.9555050850599178</v>
      </c>
      <c r="I26" s="75">
        <v>99354.507273819923</v>
      </c>
      <c r="J26" s="56">
        <v>2.9087966829959777</v>
      </c>
      <c r="K26" s="75">
        <v>13814.878096195058</v>
      </c>
      <c r="L26" s="56">
        <v>9.3079117282627859</v>
      </c>
      <c r="M26" s="75">
        <v>15828.39389226144</v>
      </c>
      <c r="N26" s="56">
        <v>8.7215249682545686</v>
      </c>
      <c r="O26" s="75">
        <v>16875.250332581491</v>
      </c>
      <c r="P26" s="56">
        <v>8.5018464738861468</v>
      </c>
      <c r="Q26" s="75">
        <v>5968.4612365025587</v>
      </c>
      <c r="R26" s="56">
        <v>15.950438554187157</v>
      </c>
      <c r="S26" s="75">
        <v>11711.279799026277</v>
      </c>
      <c r="T26" s="56">
        <v>11.20942016428382</v>
      </c>
      <c r="U26" s="75">
        <v>8208.4435641753353</v>
      </c>
      <c r="V26" s="56">
        <v>12.780756336971685</v>
      </c>
      <c r="W26" s="75">
        <v>62087.430974249146</v>
      </c>
      <c r="X26" s="56">
        <v>3.818394219099094</v>
      </c>
      <c r="Y26" s="75">
        <v>6717.3548311923551</v>
      </c>
      <c r="Z26" s="64">
        <v>15.099257098651281</v>
      </c>
    </row>
    <row r="27" spans="1:26" x14ac:dyDescent="0.2">
      <c r="A27" s="109"/>
      <c r="B27" s="29" t="str">
        <f>VLOOKUP("&lt;Zeilentitel_2.12&gt;",Uebersetzungen!$B$3:$E$199,Uebersetzungen!$B$2+1,FALSE)</f>
        <v>Basel-Stadt</v>
      </c>
      <c r="C27" s="71">
        <v>167633.000000003</v>
      </c>
      <c r="D27" s="56">
        <v>0.45500815859592553</v>
      </c>
      <c r="E27" s="75">
        <v>105057.23108919807</v>
      </c>
      <c r="F27" s="56">
        <v>2.3113402197403183</v>
      </c>
      <c r="G27" s="75">
        <v>98362.731566342118</v>
      </c>
      <c r="H27" s="56">
        <v>2.4864402903075082</v>
      </c>
      <c r="I27" s="75">
        <v>64695.445857348597</v>
      </c>
      <c r="J27" s="56">
        <v>3.7239799249064776</v>
      </c>
      <c r="K27" s="75">
        <v>13897.801593878528</v>
      </c>
      <c r="L27" s="56">
        <v>9.5192505853298055</v>
      </c>
      <c r="M27" s="75">
        <v>9848.3684056837592</v>
      </c>
      <c r="N27" s="56">
        <v>11.722681533882719</v>
      </c>
      <c r="O27" s="75">
        <v>9921.1157094312621</v>
      </c>
      <c r="P27" s="56">
        <v>11.70008233347256</v>
      </c>
      <c r="Q27" s="75">
        <v>6694.4995228559301</v>
      </c>
      <c r="R27" s="56">
        <v>15.070916229844237</v>
      </c>
      <c r="S27" s="75">
        <v>9929.5500595485792</v>
      </c>
      <c r="T27" s="56">
        <v>12.811898639944271</v>
      </c>
      <c r="U27" s="75">
        <v>5045.4694489069225</v>
      </c>
      <c r="V27" s="56">
        <v>16.786546758214691</v>
      </c>
      <c r="W27" s="75">
        <v>42078.231556191546</v>
      </c>
      <c r="X27" s="56">
        <v>4.7710582466449489</v>
      </c>
      <c r="Y27" s="75">
        <v>5522.5178461578662</v>
      </c>
      <c r="Z27" s="64">
        <v>16.957277597955546</v>
      </c>
    </row>
    <row r="28" spans="1:26" x14ac:dyDescent="0.2">
      <c r="A28" s="109"/>
      <c r="B28" s="29" t="str">
        <f>VLOOKUP("&lt;Zeilentitel_2.13&gt;",Uebersetzungen!$B$3:$E$199,Uebersetzungen!$B$2+1,FALSE)</f>
        <v>Basel-Landschaft</v>
      </c>
      <c r="C28" s="71">
        <v>250951.00000000119</v>
      </c>
      <c r="D28" s="56">
        <v>0.3418882694704119</v>
      </c>
      <c r="E28" s="75">
        <v>152557.05435367156</v>
      </c>
      <c r="F28" s="56">
        <v>1.9367187101671366</v>
      </c>
      <c r="G28" s="75">
        <v>146942.17707677672</v>
      </c>
      <c r="H28" s="56">
        <v>2.0130194231368743</v>
      </c>
      <c r="I28" s="75">
        <v>95778.324678926016</v>
      </c>
      <c r="J28" s="56">
        <v>3.0353360104716973</v>
      </c>
      <c r="K28" s="75">
        <v>17740.511885074277</v>
      </c>
      <c r="L28" s="56">
        <v>8.3554575103641806</v>
      </c>
      <c r="M28" s="75">
        <v>16234.933095323147</v>
      </c>
      <c r="N28" s="56">
        <v>8.7963471331410226</v>
      </c>
      <c r="O28" s="75">
        <v>17188.407417453338</v>
      </c>
      <c r="P28" s="56">
        <v>8.5874048152910518</v>
      </c>
      <c r="Q28" s="75">
        <v>5614.877276894822</v>
      </c>
      <c r="R28" s="56">
        <v>16.462692012920279</v>
      </c>
      <c r="S28" s="75">
        <v>15046.774628163646</v>
      </c>
      <c r="T28" s="56">
        <v>9.7659793559375974</v>
      </c>
      <c r="U28" s="75">
        <v>7003.8918162173122</v>
      </c>
      <c r="V28" s="56">
        <v>14.286616556647994</v>
      </c>
      <c r="W28" s="75">
        <v>69554.329848784299</v>
      </c>
      <c r="X28" s="56">
        <v>3.5524847117877831</v>
      </c>
      <c r="Y28" s="75">
        <v>6788.9493531643739</v>
      </c>
      <c r="Z28" s="64">
        <v>15.055922469410119</v>
      </c>
    </row>
    <row r="29" spans="1:26" x14ac:dyDescent="0.2">
      <c r="A29" s="109"/>
      <c r="B29" s="29" t="str">
        <f>VLOOKUP("&lt;Zeilentitel_2.14&gt;",Uebersetzungen!$B$3:$E$199,Uebersetzungen!$B$2+1,FALSE)</f>
        <v>Schaffhausen</v>
      </c>
      <c r="C29" s="71">
        <v>73073.000000000742</v>
      </c>
      <c r="D29" s="56">
        <v>0.78132191728739142</v>
      </c>
      <c r="E29" s="75">
        <v>45770.037550520632</v>
      </c>
      <c r="F29" s="56">
        <v>3.6937117612728763</v>
      </c>
      <c r="G29" s="75">
        <v>44148.869662929683</v>
      </c>
      <c r="H29" s="56">
        <v>3.8321281046321234</v>
      </c>
      <c r="I29" s="75">
        <v>30523.413204598546</v>
      </c>
      <c r="J29" s="56">
        <v>5.5125848780659625</v>
      </c>
      <c r="K29" s="75">
        <v>4486.2618380342083</v>
      </c>
      <c r="L29" s="56">
        <v>17.214933039085228</v>
      </c>
      <c r="M29" s="75">
        <v>4141.0843579057819</v>
      </c>
      <c r="N29" s="56">
        <v>18.212329844132977</v>
      </c>
      <c r="O29" s="75">
        <v>4998.1102623911684</v>
      </c>
      <c r="P29" s="56">
        <v>16.270665223550314</v>
      </c>
      <c r="Q29" s="81">
        <v>1621.1678875909577</v>
      </c>
      <c r="R29" s="59">
        <v>31.74913615469546</v>
      </c>
      <c r="S29" s="75">
        <v>3801.6271656574186</v>
      </c>
      <c r="T29" s="56">
        <v>20.229663641902835</v>
      </c>
      <c r="U29" s="75">
        <v>2287.5495715402308</v>
      </c>
      <c r="V29" s="56">
        <v>25.851950545532475</v>
      </c>
      <c r="W29" s="75">
        <v>19164.573080739443</v>
      </c>
      <c r="X29" s="56">
        <v>6.5370990673661273</v>
      </c>
      <c r="Y29" s="81">
        <v>2049.2126315429837</v>
      </c>
      <c r="Z29" s="65">
        <v>27.65382160458929</v>
      </c>
    </row>
    <row r="30" spans="1:26" x14ac:dyDescent="0.2">
      <c r="A30" s="109"/>
      <c r="B30" s="29" t="str">
        <f>VLOOKUP("&lt;Zeilentitel_2.15&gt;",Uebersetzungen!$B$3:$E$199,Uebersetzungen!$B$2+1,FALSE)</f>
        <v>Appenzell Ausserrhoden</v>
      </c>
      <c r="C30" s="71">
        <v>46579.000000000247</v>
      </c>
      <c r="D30" s="56">
        <v>0.84673135077893991</v>
      </c>
      <c r="E30" s="75">
        <v>29642.338808117158</v>
      </c>
      <c r="F30" s="56">
        <v>4.3008864600727694</v>
      </c>
      <c r="G30" s="75">
        <v>28863.216791785613</v>
      </c>
      <c r="H30" s="56">
        <v>4.419188899003978</v>
      </c>
      <c r="I30" s="75">
        <v>17710.568581477692</v>
      </c>
      <c r="J30" s="56">
        <v>7.2341678594451908</v>
      </c>
      <c r="K30" s="75">
        <v>3666.9570918800182</v>
      </c>
      <c r="L30" s="56">
        <v>18.356268654067836</v>
      </c>
      <c r="M30" s="75">
        <v>3485.123522878484</v>
      </c>
      <c r="N30" s="56">
        <v>18.78999535931333</v>
      </c>
      <c r="O30" s="75">
        <v>4000.5675955494175</v>
      </c>
      <c r="P30" s="56">
        <v>17.542754318313577</v>
      </c>
      <c r="Q30" s="82">
        <v>779.12201633154336</v>
      </c>
      <c r="R30" s="59">
        <v>46.120017226908274</v>
      </c>
      <c r="S30" s="75">
        <v>2142.5495019861564</v>
      </c>
      <c r="T30" s="56">
        <v>26.341408473698536</v>
      </c>
      <c r="U30" s="81">
        <v>1738.0452433223165</v>
      </c>
      <c r="V30" s="59">
        <v>27.818763279898494</v>
      </c>
      <c r="W30" s="75">
        <v>12032.024961698342</v>
      </c>
      <c r="X30" s="56">
        <v>8.8184291114280775</v>
      </c>
      <c r="Y30" s="81">
        <v>1024.0414848762698</v>
      </c>
      <c r="Z30" s="65">
        <v>38.914427422635441</v>
      </c>
    </row>
    <row r="31" spans="1:26" x14ac:dyDescent="0.2">
      <c r="A31" s="109"/>
      <c r="B31" s="29" t="str">
        <f>VLOOKUP("&lt;Zeilentitel_2.16&gt;",Uebersetzungen!$B$3:$E$199,Uebersetzungen!$B$2+1,FALSE)</f>
        <v>Appenzell Innerrhoden</v>
      </c>
      <c r="C31" s="71">
        <v>13537.000000000047</v>
      </c>
      <c r="D31" s="56">
        <v>1.5664021983065428</v>
      </c>
      <c r="E31" s="75">
        <v>9558.0748034390526</v>
      </c>
      <c r="F31" s="56">
        <v>7.212304546582633</v>
      </c>
      <c r="G31" s="75">
        <v>9487.0326090272647</v>
      </c>
      <c r="H31" s="56">
        <v>7.303140276107448</v>
      </c>
      <c r="I31" s="75">
        <v>6755.812210072123</v>
      </c>
      <c r="J31" s="56">
        <v>10.989786549388874</v>
      </c>
      <c r="K31" s="82">
        <v>751.29676685931315</v>
      </c>
      <c r="L31" s="59">
        <v>42.691424567001384</v>
      </c>
      <c r="M31" s="82">
        <v>975.67502466417591</v>
      </c>
      <c r="N31" s="59">
        <v>36.925654420487405</v>
      </c>
      <c r="O31" s="81">
        <v>1004.2486074316505</v>
      </c>
      <c r="P31" s="59">
        <v>37.024069635397133</v>
      </c>
      <c r="Q31" s="83" t="s">
        <v>334</v>
      </c>
      <c r="R31" s="56" t="s">
        <v>334</v>
      </c>
      <c r="S31" s="82">
        <v>610.29031517047042</v>
      </c>
      <c r="T31" s="59">
        <v>50.977050226499088</v>
      </c>
      <c r="U31" s="82">
        <v>421.18797861705127</v>
      </c>
      <c r="V31" s="59">
        <v>57.635095489956434</v>
      </c>
      <c r="W31" s="75">
        <v>2774.1049824895122</v>
      </c>
      <c r="X31" s="56">
        <v>18.67751299626191</v>
      </c>
      <c r="Y31" s="83" t="s">
        <v>334</v>
      </c>
      <c r="Z31" s="64" t="s">
        <v>334</v>
      </c>
    </row>
    <row r="32" spans="1:26" x14ac:dyDescent="0.2">
      <c r="A32" s="109"/>
      <c r="B32" s="29" t="str">
        <f>VLOOKUP("&lt;Zeilentitel_2.17&gt;",Uebersetzungen!$B$3:$E$199,Uebersetzungen!$B$2+1,FALSE)</f>
        <v>St. Gallen</v>
      </c>
      <c r="C32" s="71">
        <v>444144.00000000733</v>
      </c>
      <c r="D32" s="56">
        <v>0.23622220314671796</v>
      </c>
      <c r="E32" s="75">
        <v>290587.51663738303</v>
      </c>
      <c r="F32" s="56">
        <v>1.3168354320854652</v>
      </c>
      <c r="G32" s="75">
        <v>280532.11238365446</v>
      </c>
      <c r="H32" s="56">
        <v>1.3718899950262777</v>
      </c>
      <c r="I32" s="75">
        <v>192459.07782011828</v>
      </c>
      <c r="J32" s="56">
        <v>2.0491451580811564</v>
      </c>
      <c r="K32" s="75">
        <v>28424.938029891295</v>
      </c>
      <c r="L32" s="56">
        <v>6.6475813862513125</v>
      </c>
      <c r="M32" s="75">
        <v>27577.111623404075</v>
      </c>
      <c r="N32" s="56">
        <v>6.8207632872347386</v>
      </c>
      <c r="O32" s="75">
        <v>32070.984910240826</v>
      </c>
      <c r="P32" s="56">
        <v>6.2975293972958895</v>
      </c>
      <c r="Q32" s="75">
        <v>10055.404253728539</v>
      </c>
      <c r="R32" s="56">
        <v>12.396850881463095</v>
      </c>
      <c r="S32" s="75">
        <v>21213.514498965567</v>
      </c>
      <c r="T32" s="56">
        <v>8.289010470080596</v>
      </c>
      <c r="U32" s="75">
        <v>15071.803766909707</v>
      </c>
      <c r="V32" s="56">
        <v>9.7459195125146323</v>
      </c>
      <c r="W32" s="75">
        <v>105847.66472619292</v>
      </c>
      <c r="X32" s="56">
        <v>3.0297285481743401</v>
      </c>
      <c r="Y32" s="75">
        <v>11423.500370556096</v>
      </c>
      <c r="Z32" s="64">
        <v>11.455619394213937</v>
      </c>
    </row>
    <row r="33" spans="1:26" x14ac:dyDescent="0.2">
      <c r="A33" s="109"/>
      <c r="B33" s="30" t="str">
        <f>VLOOKUP("&lt;Zeilentitel_2.18&gt;",Uebersetzungen!$B$3:$E$199,Uebersetzungen!$B$2+1,FALSE)</f>
        <v>Graubünden</v>
      </c>
      <c r="C33" s="72">
        <v>174610.99999999715</v>
      </c>
      <c r="D33" s="57">
        <v>0.33944767742202009</v>
      </c>
      <c r="E33" s="76">
        <v>109254.31425392134</v>
      </c>
      <c r="F33" s="57">
        <v>2.1832896226983713</v>
      </c>
      <c r="G33" s="76">
        <v>106960.13753694597</v>
      </c>
      <c r="H33" s="57">
        <v>2.2331374480020427</v>
      </c>
      <c r="I33" s="76">
        <v>73732.305612320459</v>
      </c>
      <c r="J33" s="57">
        <v>3.3256681094667675</v>
      </c>
      <c r="K33" s="76">
        <v>11116.918069643274</v>
      </c>
      <c r="L33" s="57">
        <v>10.329133021372279</v>
      </c>
      <c r="M33" s="76">
        <v>9675.7799527179031</v>
      </c>
      <c r="N33" s="57">
        <v>11.029495718684727</v>
      </c>
      <c r="O33" s="76">
        <v>12435.133902264341</v>
      </c>
      <c r="P33" s="57">
        <v>9.682169869215425</v>
      </c>
      <c r="Q33" s="76">
        <v>2294.1767169753757</v>
      </c>
      <c r="R33" s="57">
        <v>25.854640307180468</v>
      </c>
      <c r="S33" s="76">
        <v>8413.4186460655874</v>
      </c>
      <c r="T33" s="57">
        <v>12.780310240982732</v>
      </c>
      <c r="U33" s="76">
        <v>6289.1153404762581</v>
      </c>
      <c r="V33" s="57">
        <v>14.208656463002097</v>
      </c>
      <c r="W33" s="76">
        <v>46647.284586385242</v>
      </c>
      <c r="X33" s="57">
        <v>4.4485070680259415</v>
      </c>
      <c r="Y33" s="76">
        <v>4006.867173148732</v>
      </c>
      <c r="Z33" s="66">
        <v>18.686421699934854</v>
      </c>
    </row>
    <row r="34" spans="1:26" x14ac:dyDescent="0.2">
      <c r="A34" s="109"/>
      <c r="B34" s="29" t="str">
        <f>VLOOKUP("&lt;Zeilentitel_2.19&gt;",Uebersetzungen!$B$3:$E$199,Uebersetzungen!$B$2+1,FALSE)</f>
        <v>Aargau</v>
      </c>
      <c r="C34" s="71">
        <v>604896.99999999208</v>
      </c>
      <c r="D34" s="56">
        <v>0.14982201152275068</v>
      </c>
      <c r="E34" s="75">
        <v>397617.91654129763</v>
      </c>
      <c r="F34" s="56">
        <v>0.78362970982332414</v>
      </c>
      <c r="G34" s="75">
        <v>382016.48550224607</v>
      </c>
      <c r="H34" s="56">
        <v>0.8214765515219179</v>
      </c>
      <c r="I34" s="75">
        <v>263340.22431889793</v>
      </c>
      <c r="J34" s="56">
        <v>1.2220304572391896</v>
      </c>
      <c r="K34" s="75">
        <v>41349.023840825699</v>
      </c>
      <c r="L34" s="56">
        <v>3.8219886277734472</v>
      </c>
      <c r="M34" s="75">
        <v>37707.302558124175</v>
      </c>
      <c r="N34" s="56">
        <v>4.0226175010689627</v>
      </c>
      <c r="O34" s="75">
        <v>39619.934784398705</v>
      </c>
      <c r="P34" s="56">
        <v>3.9388004273180948</v>
      </c>
      <c r="Q34" s="75">
        <v>15601.431039051331</v>
      </c>
      <c r="R34" s="56">
        <v>6.8558340257642323</v>
      </c>
      <c r="S34" s="75">
        <v>30834.722402496536</v>
      </c>
      <c r="T34" s="56">
        <v>4.745343782730151</v>
      </c>
      <c r="U34" s="75">
        <v>21290.059004453262</v>
      </c>
      <c r="V34" s="56">
        <v>5.6375762563331264</v>
      </c>
      <c r="W34" s="75">
        <v>139275.48159432784</v>
      </c>
      <c r="X34" s="56">
        <v>1.82670949546758</v>
      </c>
      <c r="Y34" s="75">
        <v>15878.820457416461</v>
      </c>
      <c r="Z34" s="64">
        <v>6.8101033157898234</v>
      </c>
    </row>
    <row r="35" spans="1:26" ht="12.75" customHeight="1" x14ac:dyDescent="0.2">
      <c r="A35" s="109"/>
      <c r="B35" s="29" t="str">
        <f>VLOOKUP("&lt;Zeilentitel_2.20&gt;",Uebersetzungen!$B$3:$E$199,Uebersetzungen!$B$2+1,FALSE)</f>
        <v>Thurgau</v>
      </c>
      <c r="C35" s="71">
        <v>245573.99999999817</v>
      </c>
      <c r="D35" s="56">
        <v>0.35006434836600664</v>
      </c>
      <c r="E35" s="75">
        <v>162780.01858846395</v>
      </c>
      <c r="F35" s="56">
        <v>1.773230961613965</v>
      </c>
      <c r="G35" s="75">
        <v>156686.68844632641</v>
      </c>
      <c r="H35" s="56">
        <v>1.854340340579314</v>
      </c>
      <c r="I35" s="75">
        <v>108909.97064298156</v>
      </c>
      <c r="J35" s="56">
        <v>2.7515330734309513</v>
      </c>
      <c r="K35" s="75">
        <v>15421.679194963766</v>
      </c>
      <c r="L35" s="56">
        <v>9.1176481412288215</v>
      </c>
      <c r="M35" s="75">
        <v>14873.260524792162</v>
      </c>
      <c r="N35" s="56">
        <v>9.2425088509281039</v>
      </c>
      <c r="O35" s="75">
        <v>17481.778083588684</v>
      </c>
      <c r="P35" s="56">
        <v>8.4707190696800865</v>
      </c>
      <c r="Q35" s="75">
        <v>6093.3301421375636</v>
      </c>
      <c r="R35" s="56">
        <v>15.964155012067922</v>
      </c>
      <c r="S35" s="75">
        <v>12204.691575038254</v>
      </c>
      <c r="T35" s="56">
        <v>10.825054865206067</v>
      </c>
      <c r="U35" s="75">
        <v>9636.014760928676</v>
      </c>
      <c r="V35" s="56">
        <v>12.335535995814867</v>
      </c>
      <c r="W35" s="75">
        <v>55073.63593050187</v>
      </c>
      <c r="X35" s="56">
        <v>4.1579464191849116</v>
      </c>
      <c r="Y35" s="75">
        <v>5879.6391450656547</v>
      </c>
      <c r="Z35" s="64">
        <v>15.960080614988712</v>
      </c>
    </row>
    <row r="36" spans="1:26" x14ac:dyDescent="0.2">
      <c r="A36" s="109"/>
      <c r="B36" s="29" t="str">
        <f>VLOOKUP("&lt;Zeilentitel_2.21&gt;",Uebersetzungen!$B$3:$E$199,Uebersetzungen!$B$2+1,FALSE)</f>
        <v>Ticino</v>
      </c>
      <c r="C36" s="71">
        <v>306302.00000000343</v>
      </c>
      <c r="D36" s="56">
        <v>0.20329241596094808</v>
      </c>
      <c r="E36" s="75">
        <v>167908.51065938489</v>
      </c>
      <c r="F36" s="56">
        <v>1.3697020043973187</v>
      </c>
      <c r="G36" s="75">
        <v>155931.73533125894</v>
      </c>
      <c r="H36" s="56">
        <v>1.4625757513169559</v>
      </c>
      <c r="I36" s="75">
        <v>108976.27729227109</v>
      </c>
      <c r="J36" s="56">
        <v>2.0035233637334091</v>
      </c>
      <c r="K36" s="75">
        <v>15579.234800167909</v>
      </c>
      <c r="L36" s="56">
        <v>6.3287805965419155</v>
      </c>
      <c r="M36" s="75">
        <v>16604.025603639981</v>
      </c>
      <c r="N36" s="56">
        <v>6.1318467765960207</v>
      </c>
      <c r="O36" s="75">
        <v>14772.197635179973</v>
      </c>
      <c r="P36" s="56">
        <v>6.5222240913952332</v>
      </c>
      <c r="Q36" s="75">
        <v>11976.775328125686</v>
      </c>
      <c r="R36" s="56">
        <v>7.8633257931190759</v>
      </c>
      <c r="S36" s="75">
        <v>24821.13119350265</v>
      </c>
      <c r="T36" s="56">
        <v>5.384265068273149</v>
      </c>
      <c r="U36" s="75">
        <v>14407.707392697666</v>
      </c>
      <c r="V36" s="56">
        <v>6.7242706736911062</v>
      </c>
      <c r="W36" s="75">
        <v>89973.930805739859</v>
      </c>
      <c r="X36" s="56">
        <v>2.1673410483463753</v>
      </c>
      <c r="Y36" s="75">
        <v>9190.7199486786194</v>
      </c>
      <c r="Z36" s="64">
        <v>8.9851803645308834</v>
      </c>
    </row>
    <row r="37" spans="1:26" x14ac:dyDescent="0.2">
      <c r="A37" s="109"/>
      <c r="B37" s="29" t="str">
        <f>VLOOKUP("&lt;Zeilentitel_2.22&gt;",Uebersetzungen!$B$3:$E$199,Uebersetzungen!$B$2+1,FALSE)</f>
        <v>Vaud</v>
      </c>
      <c r="C37" s="71">
        <v>690662.9999999915</v>
      </c>
      <c r="D37" s="56">
        <v>0.13789005411481564</v>
      </c>
      <c r="E37" s="75">
        <v>432781.34796817112</v>
      </c>
      <c r="F37" s="56">
        <v>0.77078601161763249</v>
      </c>
      <c r="G37" s="75">
        <v>401970.9385136941</v>
      </c>
      <c r="H37" s="56">
        <v>0.83629241641823671</v>
      </c>
      <c r="I37" s="75">
        <v>278254.7927752675</v>
      </c>
      <c r="J37" s="56">
        <v>1.2024541737312857</v>
      </c>
      <c r="K37" s="75">
        <v>53529.090184682267</v>
      </c>
      <c r="L37" s="56">
        <v>3.3062826725931349</v>
      </c>
      <c r="M37" s="75">
        <v>38170.81217565306</v>
      </c>
      <c r="N37" s="56">
        <v>4.0073456935673164</v>
      </c>
      <c r="O37" s="75">
        <v>32016.243378091531</v>
      </c>
      <c r="P37" s="56">
        <v>4.4610035667232193</v>
      </c>
      <c r="Q37" s="75">
        <v>30810.409454477216</v>
      </c>
      <c r="R37" s="56">
        <v>4.7731267321545499</v>
      </c>
      <c r="S37" s="75">
        <v>59529.155689478648</v>
      </c>
      <c r="T37" s="56">
        <v>3.3886984423534057</v>
      </c>
      <c r="U37" s="75">
        <v>20331.038068440248</v>
      </c>
      <c r="V37" s="56">
        <v>5.7704724022514347</v>
      </c>
      <c r="W37" s="75">
        <v>155221.14544963214</v>
      </c>
      <c r="X37" s="56">
        <v>1.7303043784513785</v>
      </c>
      <c r="Y37" s="75">
        <v>22800.312824269004</v>
      </c>
      <c r="Z37" s="64">
        <v>5.5783308553002833</v>
      </c>
    </row>
    <row r="38" spans="1:26" x14ac:dyDescent="0.2">
      <c r="A38" s="109"/>
      <c r="B38" s="29" t="str">
        <f>VLOOKUP("&lt;Zeilentitel_2.23&gt;",Uebersetzungen!$B$3:$E$199,Uebersetzungen!$B$2+1,FALSE)</f>
        <v>Wallis</v>
      </c>
      <c r="C38" s="71">
        <v>306633.99999999744</v>
      </c>
      <c r="D38" s="56">
        <v>0.29928814409264592</v>
      </c>
      <c r="E38" s="75">
        <v>188293.19822636177</v>
      </c>
      <c r="F38" s="56">
        <v>1.7410876156589223</v>
      </c>
      <c r="G38" s="75">
        <v>180809.85191480408</v>
      </c>
      <c r="H38" s="56">
        <v>1.8164292974993193</v>
      </c>
      <c r="I38" s="75">
        <v>124017.05297619544</v>
      </c>
      <c r="J38" s="56">
        <v>2.6418650117629312</v>
      </c>
      <c r="K38" s="75">
        <v>20641.617031099267</v>
      </c>
      <c r="L38" s="56">
        <v>7.7531688824665075</v>
      </c>
      <c r="M38" s="75">
        <v>18466.988286512809</v>
      </c>
      <c r="N38" s="56">
        <v>8.2152149909690415</v>
      </c>
      <c r="O38" s="75">
        <v>17684.19362099651</v>
      </c>
      <c r="P38" s="56">
        <v>8.4708641175840285</v>
      </c>
      <c r="Q38" s="75">
        <v>7483.3463115575687</v>
      </c>
      <c r="R38" s="56">
        <v>14.250293346145327</v>
      </c>
      <c r="S38" s="75">
        <v>19463.178778258443</v>
      </c>
      <c r="T38" s="56">
        <v>8.4338237550667454</v>
      </c>
      <c r="U38" s="75">
        <v>10830.153245443791</v>
      </c>
      <c r="V38" s="56">
        <v>11.167744858839521</v>
      </c>
      <c r="W38" s="75">
        <v>81312.087185100449</v>
      </c>
      <c r="X38" s="56">
        <v>3.3151000329080986</v>
      </c>
      <c r="Y38" s="75">
        <v>6735.3825648331704</v>
      </c>
      <c r="Z38" s="64">
        <v>14.981328703595517</v>
      </c>
    </row>
    <row r="39" spans="1:26" x14ac:dyDescent="0.2">
      <c r="A39" s="109"/>
      <c r="B39" s="29" t="str">
        <f>VLOOKUP("&lt;Zeilentitel_2.24&gt;",Uebersetzungen!$B$3:$E$199,Uebersetzungen!$B$2+1,FALSE)</f>
        <v>Neuchâtel</v>
      </c>
      <c r="C39" s="71">
        <v>148771.99999999872</v>
      </c>
      <c r="D39" s="56">
        <v>0.2745480537401444</v>
      </c>
      <c r="E39" s="75">
        <v>90636.103578983864</v>
      </c>
      <c r="F39" s="56">
        <v>1.7316151116711831</v>
      </c>
      <c r="G39" s="75">
        <v>84817.082872540981</v>
      </c>
      <c r="H39" s="56">
        <v>1.8567061928261746</v>
      </c>
      <c r="I39" s="75">
        <v>57782.348942795899</v>
      </c>
      <c r="J39" s="56">
        <v>2.6645287866871308</v>
      </c>
      <c r="K39" s="75">
        <v>11798.999591640826</v>
      </c>
      <c r="L39" s="56">
        <v>7.1064989680513051</v>
      </c>
      <c r="M39" s="75">
        <v>8517.5411278254523</v>
      </c>
      <c r="N39" s="56">
        <v>8.5671149250375631</v>
      </c>
      <c r="O39" s="75">
        <v>6718.1932102788014</v>
      </c>
      <c r="P39" s="56">
        <v>9.8519295970182519</v>
      </c>
      <c r="Q39" s="75">
        <v>5819.0207064428396</v>
      </c>
      <c r="R39" s="56">
        <v>11.034523648812932</v>
      </c>
      <c r="S39" s="75">
        <v>10939.463930145981</v>
      </c>
      <c r="T39" s="56">
        <v>7.9337002677147996</v>
      </c>
      <c r="U39" s="75">
        <v>3861.3703333752856</v>
      </c>
      <c r="V39" s="56">
        <v>13.249332556715618</v>
      </c>
      <c r="W39" s="75">
        <v>38466.379880418477</v>
      </c>
      <c r="X39" s="56">
        <v>3.3728551457480651</v>
      </c>
      <c r="Y39" s="75">
        <v>4868.6822770751442</v>
      </c>
      <c r="Z39" s="64">
        <v>12.033463071735168</v>
      </c>
    </row>
    <row r="40" spans="1:26" x14ac:dyDescent="0.2">
      <c r="A40" s="109"/>
      <c r="B40" s="29" t="str">
        <f>VLOOKUP("&lt;Zeilentitel_2.25&gt;",Uebersetzungen!$B$3:$E$199,Uebersetzungen!$B$2+1,FALSE)</f>
        <v>Genève</v>
      </c>
      <c r="C40" s="71">
        <v>400257.99999999767</v>
      </c>
      <c r="D40" s="56">
        <v>0.2372062411593624</v>
      </c>
      <c r="E40" s="75">
        <v>241476.83816139572</v>
      </c>
      <c r="F40" s="56">
        <v>1.1318722991223633</v>
      </c>
      <c r="G40" s="75">
        <v>215833.79983963896</v>
      </c>
      <c r="H40" s="56">
        <v>1.2614923617651186</v>
      </c>
      <c r="I40" s="75">
        <v>150335.9463954136</v>
      </c>
      <c r="J40" s="56">
        <v>1.7488465390563013</v>
      </c>
      <c r="K40" s="75">
        <v>30946.64412652496</v>
      </c>
      <c r="L40" s="56">
        <v>4.5486887039677848</v>
      </c>
      <c r="M40" s="75">
        <v>17598.735616181915</v>
      </c>
      <c r="N40" s="56">
        <v>6.3070199953148727</v>
      </c>
      <c r="O40" s="75">
        <v>16952.473701518451</v>
      </c>
      <c r="P40" s="56">
        <v>6.5562086976645109</v>
      </c>
      <c r="Q40" s="75">
        <v>25643.038321756871</v>
      </c>
      <c r="R40" s="56">
        <v>5.5403442033660983</v>
      </c>
      <c r="S40" s="75">
        <v>36286.437888476161</v>
      </c>
      <c r="T40" s="56">
        <v>4.5193024236598749</v>
      </c>
      <c r="U40" s="75">
        <v>13459.161836290139</v>
      </c>
      <c r="V40" s="56">
        <v>7.5369818364405017</v>
      </c>
      <c r="W40" s="75">
        <v>91060.583223581751</v>
      </c>
      <c r="X40" s="56">
        <v>2.3266583549341395</v>
      </c>
      <c r="Y40" s="75">
        <v>17974.978890253813</v>
      </c>
      <c r="Z40" s="64">
        <v>6.5990539227444467</v>
      </c>
    </row>
    <row r="41" spans="1:26" ht="13.5" thickBot="1" x14ac:dyDescent="0.25">
      <c r="A41" s="110"/>
      <c r="B41" s="46" t="str">
        <f>VLOOKUP("&lt;Zeilentitel_2.26&gt;",Uebersetzungen!$B$3:$E$199,Uebersetzungen!$B$2+1,FALSE)</f>
        <v>Jura</v>
      </c>
      <c r="C41" s="73">
        <v>62061.999999999571</v>
      </c>
      <c r="D41" s="67">
        <v>0.55587129579092287</v>
      </c>
      <c r="E41" s="77">
        <v>35510.170141706942</v>
      </c>
      <c r="F41" s="67">
        <v>4.0076189394387045</v>
      </c>
      <c r="G41" s="77">
        <v>33475.416562823957</v>
      </c>
      <c r="H41" s="67">
        <v>4.2525326964361128</v>
      </c>
      <c r="I41" s="77">
        <v>21330.210108067276</v>
      </c>
      <c r="J41" s="67">
        <v>6.3374313027542772</v>
      </c>
      <c r="K41" s="77">
        <v>4759.6538696388798</v>
      </c>
      <c r="L41" s="67">
        <v>15.850583489907121</v>
      </c>
      <c r="M41" s="77">
        <v>3713.5114568072145</v>
      </c>
      <c r="N41" s="67">
        <v>17.851111304032752</v>
      </c>
      <c r="O41" s="77">
        <v>3672.0411283105968</v>
      </c>
      <c r="P41" s="67">
        <v>18.32317357765465</v>
      </c>
      <c r="Q41" s="77">
        <v>2034.7535788829839</v>
      </c>
      <c r="R41" s="67">
        <v>25.912824491488603</v>
      </c>
      <c r="S41" s="77">
        <v>4622.564356580594</v>
      </c>
      <c r="T41" s="67">
        <v>16.996458451992847</v>
      </c>
      <c r="U41" s="77">
        <v>1800.4496782329454</v>
      </c>
      <c r="V41" s="67">
        <v>26.865258605976678</v>
      </c>
      <c r="W41" s="77">
        <v>18303.767632674506</v>
      </c>
      <c r="X41" s="67">
        <v>6.8084471782634184</v>
      </c>
      <c r="Y41" s="84">
        <v>1825.048190804571</v>
      </c>
      <c r="Z41" s="68">
        <v>27.737248175590651</v>
      </c>
    </row>
    <row r="42" spans="1:26" x14ac:dyDescent="0.2">
      <c r="A42" s="17"/>
      <c r="B42" s="10"/>
      <c r="C42" s="9"/>
      <c r="D42" s="11"/>
      <c r="E42" s="12"/>
      <c r="F42" s="13"/>
      <c r="G42" s="14"/>
      <c r="H42" s="13"/>
      <c r="I42" s="14"/>
      <c r="J42" s="13"/>
      <c r="K42" s="14"/>
      <c r="L42" s="14"/>
      <c r="M42" s="13"/>
      <c r="N42" s="14"/>
    </row>
    <row r="43" spans="1:26" x14ac:dyDescent="0.2">
      <c r="A43" s="15" t="str">
        <f>VLOOKUP("&lt;Legende_1&gt;",Uebersetzungen!$B$3:$E$199,Uebersetzungen!$B$2+1,FALSE)</f>
        <v>(): Extrapolation aufgrund von 49 oder weniger Beobachtungen. Die Resultate sind mit grosser Vorsicht zu interpretieren.</v>
      </c>
    </row>
    <row r="44" spans="1:26" x14ac:dyDescent="0.2">
      <c r="A44" s="15" t="str">
        <f>VLOOKUP("&lt;Legende_2&gt;",Uebersetzungen!$B$3:$E$199,Uebersetzungen!$B$2+1,FALSE)</f>
        <v>X: Extrapolation aufgrund von 4 oder weniger Beobachtungen. Die Resultate werden aus Gründen des Datenschutzes nicht publiziert.</v>
      </c>
    </row>
    <row r="45" spans="1:26" x14ac:dyDescent="0.2">
      <c r="A45" s="15" t="str">
        <f>VLOOKUP("&lt;Legende_3&gt;",Uebersetzungen!$B$3:$E$199,Uebersetzungen!$B$2+1,FALSE)</f>
        <v>Die Grundgesamtheit der Strukturerhebung enthält alle Personen der ständigen Wohnbevölkerung ab vollendetem 15. Altersjahr, die in Privathaushalten leben.</v>
      </c>
    </row>
    <row r="46" spans="1:26" x14ac:dyDescent="0.2">
      <c r="A46" s="15" t="str">
        <f>VLOOKUP("&lt;Legende_4&gt;",Uebersetzungen!$B$3:$E$199,Uebersetzungen!$B$2+1,FALSE)</f>
        <v>Aus der Grundgesamtheit ausgeschlossen wurden neben den Personen, die in Kollektivhaushalten leben, auch Diplomaten, internationale Funktionäre und deren Angehörige.</v>
      </c>
    </row>
    <row r="48" spans="1:26" x14ac:dyDescent="0.2">
      <c r="A48" s="1" t="str">
        <f>VLOOKUP("&lt;quelle_1&gt;",Uebersetzungen!$B$3:$E$199,Uebersetzungen!$B$2+1,FALSE)</f>
        <v>Quelle: BFS (Strukturerhebung)</v>
      </c>
    </row>
    <row r="49" spans="1:1" x14ac:dyDescent="0.2">
      <c r="A49" s="1" t="str">
        <f>VLOOKUP("&lt;aktualisierung&gt;",Uebersetzungen!$B$3:$E$199,Uebersetzungen!$B$2+1,FALSE)</f>
        <v>Letztmals aktualisiert am: 27.01.2024</v>
      </c>
    </row>
  </sheetData>
  <sheetProtection sheet="1" objects="1" scenarios="1"/>
  <mergeCells count="16">
    <mergeCell ref="W13:X13"/>
    <mergeCell ref="Y13:Z13"/>
    <mergeCell ref="C12:Z12"/>
    <mergeCell ref="A16:A41"/>
    <mergeCell ref="U13:V13"/>
    <mergeCell ref="A15:B15"/>
    <mergeCell ref="Q13:R13"/>
    <mergeCell ref="S13:T13"/>
    <mergeCell ref="A7:B7"/>
    <mergeCell ref="K13:L13"/>
    <mergeCell ref="M13:N13"/>
    <mergeCell ref="O13:P13"/>
    <mergeCell ref="C13:D13"/>
    <mergeCell ref="E13:F13"/>
    <mergeCell ref="G13:H13"/>
    <mergeCell ref="I13:J13"/>
  </mergeCells>
  <pageMargins left="0.7" right="0.7" top="0.78740157499999996" bottom="0.78740157499999996" header="0.3" footer="0.3"/>
  <pageSetup paperSize="9" orientation="portrait" r:id="rId1"/>
  <ignoredErrors>
    <ignoredError sqref="D14:G14 H14:I14 J14:K14 L14:N14 O14:Q14 T14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3</xdr:col>
                    <xdr:colOff>428625</xdr:colOff>
                    <xdr:row>1</xdr:row>
                    <xdr:rowOff>123825</xdr:rowOff>
                  </from>
                  <to>
                    <xdr:col>4</xdr:col>
                    <xdr:colOff>752475</xdr:colOff>
                    <xdr:row>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3</xdr:col>
                    <xdr:colOff>428625</xdr:colOff>
                    <xdr:row>2</xdr:row>
                    <xdr:rowOff>104775</xdr:rowOff>
                  </from>
                  <to>
                    <xdr:col>5</xdr:col>
                    <xdr:colOff>304800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3</xdr:col>
                    <xdr:colOff>428625</xdr:colOff>
                    <xdr:row>3</xdr:row>
                    <xdr:rowOff>76200</xdr:rowOff>
                  </from>
                  <to>
                    <xdr:col>4</xdr:col>
                    <xdr:colOff>752475</xdr:colOff>
                    <xdr:row>4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53"/>
  <sheetViews>
    <sheetView workbookViewId="0"/>
  </sheetViews>
  <sheetFormatPr baseColWidth="10" defaultColWidth="11.42578125" defaultRowHeight="12.75" x14ac:dyDescent="0.2"/>
  <cols>
    <col min="1" max="2" width="32.28515625" style="1" customWidth="1"/>
    <col min="3" max="26" width="12" style="1" customWidth="1"/>
    <col min="27" max="16384" width="11.42578125" style="1"/>
  </cols>
  <sheetData>
    <row r="1" spans="1:26" s="2" customFormat="1" x14ac:dyDescent="0.2"/>
    <row r="2" spans="1:26" s="2" customFormat="1" ht="15.75" x14ac:dyDescent="0.25">
      <c r="B2" s="3"/>
      <c r="C2" s="1"/>
      <c r="D2" s="1"/>
    </row>
    <row r="3" spans="1:26" s="2" customFormat="1" ht="15.75" x14ac:dyDescent="0.25">
      <c r="B3" s="3"/>
      <c r="C3" s="1"/>
      <c r="D3" s="1"/>
    </row>
    <row r="4" spans="1:26" s="2" customFormat="1" ht="15.75" x14ac:dyDescent="0.25">
      <c r="B4" s="3"/>
      <c r="C4" s="1"/>
      <c r="D4" s="1"/>
    </row>
    <row r="5" spans="1:26" s="2" customFormat="1" x14ac:dyDescent="0.2"/>
    <row r="6" spans="1:26" s="2" customFormat="1" x14ac:dyDescent="0.2"/>
    <row r="7" spans="1:26" s="2" customFormat="1" ht="15.75" customHeight="1" x14ac:dyDescent="0.2">
      <c r="A7" s="53" t="str">
        <f>VLOOKUP("&lt;Fachbereich&gt;",Uebersetzungen!$B$3:$E$200,Uebersetzungen!$B$2+1,FALSE)</f>
        <v>Daten &amp; Statistik</v>
      </c>
      <c r="B7" s="53"/>
      <c r="C7" s="4"/>
      <c r="D7" s="4"/>
      <c r="E7" s="4"/>
      <c r="F7" s="4"/>
      <c r="G7" s="4"/>
      <c r="H7" s="4"/>
    </row>
    <row r="8" spans="1:26" s="2" customFormat="1" x14ac:dyDescent="0.2"/>
    <row r="9" spans="1:26" s="8" customFormat="1" ht="18" x14ac:dyDescent="0.2">
      <c r="A9" s="20" t="str">
        <f>VLOOKUP("&lt;T2Titel&gt;",Uebersetzungen!$B$3:$E$200,Uebersetzungen!$B$2+1,FALSE)</f>
        <v>Arbeitsmarktstatus im Kanton Graubünden</v>
      </c>
      <c r="B9" s="5"/>
      <c r="C9" s="5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7"/>
    </row>
    <row r="10" spans="1:26" s="8" customFormat="1" ht="15" x14ac:dyDescent="0.2">
      <c r="A10" s="21" t="str">
        <f>VLOOKUP("&lt;UTitel&gt;",Uebersetzungen!$B$3:$E$200,Uebersetzungen!$B$2+1,FALSE)</f>
        <v>Ständige schweizerische Wohnbevölkerung ab 15 Jahren</v>
      </c>
      <c r="B10" s="5"/>
      <c r="C10" s="5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7"/>
    </row>
    <row r="11" spans="1:26" s="8" customFormat="1" ht="15.75" thickBot="1" x14ac:dyDescent="0.25">
      <c r="A11" s="21"/>
      <c r="B11" s="5"/>
      <c r="C11" s="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7"/>
    </row>
    <row r="12" spans="1:26" ht="18.75" thickBot="1" x14ac:dyDescent="0.3">
      <c r="C12" s="105">
        <v>2023</v>
      </c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7"/>
    </row>
    <row r="13" spans="1:26" ht="39" customHeight="1" x14ac:dyDescent="0.2">
      <c r="A13" s="10"/>
      <c r="B13" s="16"/>
      <c r="C13" s="113" t="str">
        <f>VLOOKUP("&lt;SpaltenTitel_1&gt;",Uebersetzungen!$B$3:$E$200,Uebersetzungen!$B$2+1,FALSE)</f>
        <v>Total</v>
      </c>
      <c r="D13" s="114"/>
      <c r="E13" s="113" t="str">
        <f>VLOOKUP("&lt;SpaltenTitel_2&gt;",Uebersetzungen!$B$3:$E$200,Uebersetzungen!$B$2+1,FALSE)</f>
        <v>Erwerbspersonen</v>
      </c>
      <c r="F13" s="114"/>
      <c r="G13" s="113" t="str">
        <f>VLOOKUP("&lt;SpaltenTitel_3&gt;",Uebersetzungen!$B$3:$E$200,Uebersetzungen!$B$2+1,FALSE)</f>
        <v>Erwerbstätige</v>
      </c>
      <c r="H13" s="114"/>
      <c r="I13" s="113" t="str">
        <f>VLOOKUP("&lt;SpaltenTitel_4&gt;",Uebersetzungen!$B$3:$E$200,Uebersetzungen!$B$2+1,FALSE)</f>
        <v>Vollzeiterwerbstätige (90-100%)</v>
      </c>
      <c r="J13" s="114"/>
      <c r="K13" s="113" t="str">
        <f>VLOOKUP("&lt;SpaltenTitel_5&gt;",Uebersetzungen!$B$3:$E$200,Uebersetzungen!$B$2+1,FALSE)</f>
        <v>Teilzeiterwerbstätige I (70-89%)</v>
      </c>
      <c r="L13" s="114"/>
      <c r="M13" s="113" t="str">
        <f>VLOOKUP("&lt;SpaltenTitel_6&gt;",Uebersetzungen!$B$3:$E$200,Uebersetzungen!$B$2+1,FALSE)</f>
        <v>Teilzeiterwerbstätige II (50-69%)</v>
      </c>
      <c r="N13" s="114"/>
      <c r="O13" s="113" t="str">
        <f>VLOOKUP("&lt;SpaltenTitel_7&gt;",Uebersetzungen!$B$3:$E$200,Uebersetzungen!$B$2+1,FALSE)</f>
        <v>Teilzeiterwerbstätige III (weniger als 50%)</v>
      </c>
      <c r="P13" s="114"/>
      <c r="Q13" s="113" t="str">
        <f>VLOOKUP("&lt;SpaltenTitel_8&gt;",Uebersetzungen!$B$3:$E$200,Uebersetzungen!$B$2+1,FALSE)</f>
        <v>Erwerbslose</v>
      </c>
      <c r="R13" s="114"/>
      <c r="S13" s="113" t="str">
        <f>VLOOKUP("&lt;SpaltenTitel_9&gt;",Uebersetzungen!$B$3:$E$200,Uebersetzungen!$B$2+1,FALSE)</f>
        <v>Nichterwerbspersonen in Ausbildung</v>
      </c>
      <c r="T13" s="114"/>
      <c r="U13" s="113" t="str">
        <f>VLOOKUP("&lt;SpaltenTitel_10&gt;",Uebersetzungen!$B$3:$E$200,Uebersetzungen!$B$2+1,FALSE)</f>
        <v>Hausfrauen/Hausmänner</v>
      </c>
      <c r="V13" s="115"/>
      <c r="W13" s="113" t="str">
        <f>VLOOKUP("&lt;SpaltenTitel_11&gt;",Uebersetzungen!$B$3:$E$200,Uebersetzungen!$B$2+1,FALSE)</f>
        <v>Rentner/innen (AHV, IV)</v>
      </c>
      <c r="X13" s="114"/>
      <c r="Y13" s="113" t="str">
        <f>VLOOKUP("&lt;SpaltenTitel_12&gt;",Uebersetzungen!$B$3:$E$200,Uebersetzungen!$B$2+1,FALSE)</f>
        <v>Andere Nichterwerbspersonen</v>
      </c>
      <c r="Z13" s="114"/>
    </row>
    <row r="14" spans="1:26" ht="39.75" customHeight="1" thickBot="1" x14ac:dyDescent="0.25">
      <c r="A14" s="22"/>
      <c r="B14" s="23"/>
      <c r="C14" s="24" t="str">
        <f>VLOOKUP("&lt;SpaltenTitel_1.1&gt;",Uebersetzungen!$B$3:$E$200,Uebersetzungen!$B$2+1,FALSE)</f>
        <v>Anzahl Personen</v>
      </c>
      <c r="D14" s="25" t="str">
        <f>VLOOKUP("&lt;SpaltenTitel_1.2&gt;",Uebersetzungen!$B$3:$E$200,Uebersetzungen!$B$2+1,FALSE)</f>
        <v>Vertrauens- intervall:          ± (in %)</v>
      </c>
      <c r="E14" s="24" t="str">
        <f>VLOOKUP("&lt;SpaltenTitel_1.1&gt;",Uebersetzungen!$B$3:$E$200,Uebersetzungen!$B$2+1,FALSE)</f>
        <v>Anzahl Personen</v>
      </c>
      <c r="F14" s="25" t="str">
        <f>VLOOKUP("&lt;SpaltenTitel_1.2&gt;",Uebersetzungen!$B$3:$E$200,Uebersetzungen!$B$2+1,FALSE)</f>
        <v>Vertrauens- intervall:          ± (in %)</v>
      </c>
      <c r="G14" s="24" t="str">
        <f>VLOOKUP("&lt;SpaltenTitel_1.1&gt;",Uebersetzungen!$B$3:$E$200,Uebersetzungen!$B$2+1,FALSE)</f>
        <v>Anzahl Personen</v>
      </c>
      <c r="H14" s="25" t="str">
        <f>VLOOKUP("&lt;SpaltenTitel_1.2&gt;",Uebersetzungen!$B$3:$E$200,Uebersetzungen!$B$2+1,FALSE)</f>
        <v>Vertrauens- intervall:          ± (in %)</v>
      </c>
      <c r="I14" s="24" t="str">
        <f>VLOOKUP("&lt;SpaltenTitel_1.1&gt;",Uebersetzungen!$B$3:$E$200,Uebersetzungen!$B$2+1,FALSE)</f>
        <v>Anzahl Personen</v>
      </c>
      <c r="J14" s="25" t="str">
        <f>VLOOKUP("&lt;SpaltenTitel_1.2&gt;",Uebersetzungen!$B$3:$E$200,Uebersetzungen!$B$2+1,FALSE)</f>
        <v>Vertrauens- intervall:          ± (in %)</v>
      </c>
      <c r="K14" s="24" t="str">
        <f>VLOOKUP("&lt;SpaltenTitel_1.1&gt;",Uebersetzungen!$B$3:$E$200,Uebersetzungen!$B$2+1,FALSE)</f>
        <v>Anzahl Personen</v>
      </c>
      <c r="L14" s="25" t="str">
        <f>VLOOKUP("&lt;SpaltenTitel_1.2&gt;",Uebersetzungen!$B$3:$E$200,Uebersetzungen!$B$2+1,FALSE)</f>
        <v>Vertrauens- intervall:          ± (in %)</v>
      </c>
      <c r="M14" s="24" t="str">
        <f>VLOOKUP("&lt;SpaltenTitel_1.1&gt;",Uebersetzungen!$B$3:$E$200,Uebersetzungen!$B$2+1,FALSE)</f>
        <v>Anzahl Personen</v>
      </c>
      <c r="N14" s="25" t="str">
        <f>VLOOKUP("&lt;SpaltenTitel_1.2&gt;",Uebersetzungen!$B$3:$E$200,Uebersetzungen!$B$2+1,FALSE)</f>
        <v>Vertrauens- intervall:          ± (in %)</v>
      </c>
      <c r="O14" s="24" t="str">
        <f>VLOOKUP("&lt;SpaltenTitel_1.1&gt;",Uebersetzungen!$B$3:$E$200,Uebersetzungen!$B$2+1,FALSE)</f>
        <v>Anzahl Personen</v>
      </c>
      <c r="P14" s="25" t="str">
        <f>VLOOKUP("&lt;SpaltenTitel_1.2&gt;",Uebersetzungen!$B$3:$E$200,Uebersetzungen!$B$2+1,FALSE)</f>
        <v>Vertrauens- intervall:          ± (in %)</v>
      </c>
      <c r="Q14" s="24" t="str">
        <f>VLOOKUP("&lt;SpaltenTitel_1.1&gt;",Uebersetzungen!$B$3:$E$200,Uebersetzungen!$B$2+1,FALSE)</f>
        <v>Anzahl Personen</v>
      </c>
      <c r="R14" s="25" t="str">
        <f>VLOOKUP("&lt;SpaltenTitel_1.2&gt;",Uebersetzungen!$B$3:$E$200,Uebersetzungen!$B$2+1,FALSE)</f>
        <v>Vertrauens- intervall:          ± (in %)</v>
      </c>
      <c r="S14" s="24" t="str">
        <f>VLOOKUP("&lt;SpaltenTitel_1.1&gt;",Uebersetzungen!$B$3:$E$200,Uebersetzungen!$B$2+1,FALSE)</f>
        <v>Anzahl Personen</v>
      </c>
      <c r="T14" s="25" t="str">
        <f>VLOOKUP("&lt;SpaltenTitel_1.2&gt;",Uebersetzungen!$B$3:$E$200,Uebersetzungen!$B$2+1,FALSE)</f>
        <v>Vertrauens- intervall:          ± (in %)</v>
      </c>
      <c r="U14" s="24" t="str">
        <f>VLOOKUP("&lt;SpaltenTitel_1.1&gt;",Uebersetzungen!$B$3:$E$200,Uebersetzungen!$B$2+1,FALSE)</f>
        <v>Anzahl Personen</v>
      </c>
      <c r="V14" s="25" t="str">
        <f>VLOOKUP("&lt;SpaltenTitel_1.2&gt;",Uebersetzungen!$B$3:$E$200,Uebersetzungen!$B$2+1,FALSE)</f>
        <v>Vertrauens- intervall:          ± (in %)</v>
      </c>
      <c r="W14" s="27" t="s">
        <v>0</v>
      </c>
      <c r="X14" s="28" t="s">
        <v>1</v>
      </c>
      <c r="Y14" s="27" t="s">
        <v>0</v>
      </c>
      <c r="Z14" s="99" t="s">
        <v>1</v>
      </c>
    </row>
    <row r="15" spans="1:26" x14ac:dyDescent="0.2">
      <c r="A15" s="52" t="str">
        <f>VLOOKUP("&lt;T2Zeilentitel_1&gt;",Uebersetzungen!$B$3:$E$194,Uebersetzungen!$B$2+1,FALSE)</f>
        <v>Total</v>
      </c>
      <c r="B15" s="85"/>
      <c r="C15" s="92">
        <v>174610.99999999715</v>
      </c>
      <c r="D15" s="55">
        <v>0.33944767742202009</v>
      </c>
      <c r="E15" s="92">
        <v>109254.31425392134</v>
      </c>
      <c r="F15" s="55">
        <v>2.1832896226983713</v>
      </c>
      <c r="G15" s="92">
        <v>106960.13753694597</v>
      </c>
      <c r="H15" s="55">
        <v>2.2331374480020427</v>
      </c>
      <c r="I15" s="92">
        <v>73732.305612320459</v>
      </c>
      <c r="J15" s="55">
        <v>3.3256681094667675</v>
      </c>
      <c r="K15" s="92">
        <v>11116.918069643274</v>
      </c>
      <c r="L15" s="55">
        <v>10.329133021372279</v>
      </c>
      <c r="M15" s="92">
        <v>9675.7799527179031</v>
      </c>
      <c r="N15" s="55">
        <v>11.029495718684727</v>
      </c>
      <c r="O15" s="92">
        <v>12435.133902264341</v>
      </c>
      <c r="P15" s="55">
        <v>9.682169869215425</v>
      </c>
      <c r="Q15" s="92">
        <v>2294.1767169753757</v>
      </c>
      <c r="R15" s="55">
        <v>25.854640307180468</v>
      </c>
      <c r="S15" s="92">
        <v>8413.4186460655874</v>
      </c>
      <c r="T15" s="55">
        <v>12.780310240982732</v>
      </c>
      <c r="U15" s="92">
        <v>6289.1153404762581</v>
      </c>
      <c r="V15" s="55">
        <v>14.208656463002097</v>
      </c>
      <c r="W15" s="92">
        <v>46647.284586385242</v>
      </c>
      <c r="X15" s="55">
        <v>4.4485070680259415</v>
      </c>
      <c r="Y15" s="92">
        <v>4006.867173148732</v>
      </c>
      <c r="Z15" s="55">
        <v>18.686421699934854</v>
      </c>
    </row>
    <row r="16" spans="1:26" x14ac:dyDescent="0.2">
      <c r="A16" s="29" t="str">
        <f>VLOOKUP("&lt;T2Zeilentitel_2&gt;",Uebersetzungen!$B$3:$E$194,Uebersetzungen!$B$2+1,FALSE)</f>
        <v>Geschlecht</v>
      </c>
      <c r="B16" s="86" t="str">
        <f>VLOOKUP("&lt;T2Zeilentitel_2.1&gt;",Uebersetzungen!$B$3:$E$194,Uebersetzungen!$B$2+1,FALSE)</f>
        <v>Männer</v>
      </c>
      <c r="C16" s="75">
        <v>87537.999999998778</v>
      </c>
      <c r="D16" s="56">
        <v>2.8416627271316628</v>
      </c>
      <c r="E16" s="75">
        <v>59539.016510329384</v>
      </c>
      <c r="F16" s="56">
        <v>3.9893688723963288</v>
      </c>
      <c r="G16" s="75">
        <v>58323.015866429843</v>
      </c>
      <c r="H16" s="56">
        <v>4.0408028797641942</v>
      </c>
      <c r="I16" s="75">
        <v>50392.961878462695</v>
      </c>
      <c r="J16" s="56">
        <v>4.4961649427959065</v>
      </c>
      <c r="K16" s="75">
        <v>3486.3206756629856</v>
      </c>
      <c r="L16" s="56">
        <v>19.545766255116458</v>
      </c>
      <c r="M16" s="81">
        <v>1716.2390565141482</v>
      </c>
      <c r="N16" s="59">
        <v>27.690044123716504</v>
      </c>
      <c r="O16" s="75">
        <v>2727.4942557900531</v>
      </c>
      <c r="P16" s="56">
        <v>21.954383409530688</v>
      </c>
      <c r="Q16" s="81">
        <v>1216.0006438995231</v>
      </c>
      <c r="R16" s="59">
        <v>36.197426274830825</v>
      </c>
      <c r="S16" s="75">
        <v>4180.7514239066295</v>
      </c>
      <c r="T16" s="56">
        <v>18.515165123029142</v>
      </c>
      <c r="U16" s="19">
        <v>325.3721114493863</v>
      </c>
      <c r="V16" s="59">
        <v>68.479460253298342</v>
      </c>
      <c r="W16" s="75">
        <v>21290.89316400731</v>
      </c>
      <c r="X16" s="56">
        <v>7.1176171591696553</v>
      </c>
      <c r="Y16" s="75">
        <v>2201.9667903060526</v>
      </c>
      <c r="Z16" s="56">
        <v>25.942497372865848</v>
      </c>
    </row>
    <row r="17" spans="1:26" x14ac:dyDescent="0.2">
      <c r="A17" s="29"/>
      <c r="B17" s="86" t="str">
        <f>VLOOKUP("&lt;T2Zeilentitel_2.2&gt;",Uebersetzungen!$B$3:$E$194,Uebersetzungen!$B$2+1,FALSE)</f>
        <v>Frauen</v>
      </c>
      <c r="C17" s="93">
        <v>87072.999999998385</v>
      </c>
      <c r="D17" s="58">
        <v>2.7106627575432016</v>
      </c>
      <c r="E17" s="93">
        <v>49715.29774359196</v>
      </c>
      <c r="F17" s="58">
        <v>4.25650841637668</v>
      </c>
      <c r="G17" s="93">
        <v>48637.121670516128</v>
      </c>
      <c r="H17" s="58">
        <v>4.3110575666710105</v>
      </c>
      <c r="I17" s="93">
        <v>23339.343733857768</v>
      </c>
      <c r="J17" s="58">
        <v>6.9607832255294966</v>
      </c>
      <c r="K17" s="93">
        <v>7630.5973939802889</v>
      </c>
      <c r="L17" s="58">
        <v>12.391242073740866</v>
      </c>
      <c r="M17" s="93">
        <v>7959.5408962037545</v>
      </c>
      <c r="N17" s="58">
        <v>12.138596086339726</v>
      </c>
      <c r="O17" s="93">
        <v>9707.6396464742884</v>
      </c>
      <c r="P17" s="58">
        <v>10.953452445624876</v>
      </c>
      <c r="Q17" s="94">
        <v>1078.1760730758524</v>
      </c>
      <c r="R17" s="90">
        <v>37.105343268985187</v>
      </c>
      <c r="S17" s="93">
        <v>4232.667222158957</v>
      </c>
      <c r="T17" s="58">
        <v>18.046751587131503</v>
      </c>
      <c r="U17" s="93">
        <v>5963.7432290268716</v>
      </c>
      <c r="V17" s="58">
        <v>14.538701967033107</v>
      </c>
      <c r="W17" s="93">
        <v>25356.391422377928</v>
      </c>
      <c r="X17" s="58">
        <v>6.6198805275492631</v>
      </c>
      <c r="Y17" s="93">
        <v>1804.9003828426794</v>
      </c>
      <c r="Z17" s="58">
        <v>27.156149446197862</v>
      </c>
    </row>
    <row r="18" spans="1:26" x14ac:dyDescent="0.2">
      <c r="A18" s="54" t="str">
        <f>VLOOKUP("&lt;T2Zeilentitel_3&gt;",Uebersetzungen!$B$3:$E$194,Uebersetzungen!$B$2+1,FALSE)</f>
        <v>Alter</v>
      </c>
      <c r="B18" s="87" t="str">
        <f>VLOOKUP("&lt;T2Zeilentitel_3.1&gt;",Uebersetzungen!$B$3:$E$194,Uebersetzungen!$B$2+1,FALSE)</f>
        <v>15-24</v>
      </c>
      <c r="C18" s="75">
        <v>18796.999999999985</v>
      </c>
      <c r="D18" s="56">
        <v>8.3769939210267985</v>
      </c>
      <c r="E18" s="75">
        <v>9579.7471173489284</v>
      </c>
      <c r="F18" s="56">
        <v>12.148518953475371</v>
      </c>
      <c r="G18" s="75">
        <v>9263.2378999463472</v>
      </c>
      <c r="H18" s="56">
        <v>12.353782168957872</v>
      </c>
      <c r="I18" s="75">
        <v>7422.1757721673284</v>
      </c>
      <c r="J18" s="56">
        <v>13.855739139834036</v>
      </c>
      <c r="K18" s="19">
        <v>501.78201836336899</v>
      </c>
      <c r="L18" s="59">
        <v>54.702753161170726</v>
      </c>
      <c r="M18" s="19">
        <v>507.75134479693298</v>
      </c>
      <c r="N18" s="59">
        <v>54.006404658226906</v>
      </c>
      <c r="O18" s="19">
        <v>831.5287646187146</v>
      </c>
      <c r="P18" s="59">
        <v>42.263930439095297</v>
      </c>
      <c r="Q18" s="19">
        <v>316.50921740258053</v>
      </c>
      <c r="R18" s="59">
        <v>70.117288568762021</v>
      </c>
      <c r="S18" s="75">
        <v>7333.5765943741471</v>
      </c>
      <c r="T18" s="56">
        <v>13.673857103058486</v>
      </c>
      <c r="U18" s="18" t="s">
        <v>334</v>
      </c>
      <c r="V18" s="56" t="s">
        <v>334</v>
      </c>
      <c r="W18" s="19">
        <v>223.85460821653905</v>
      </c>
      <c r="X18" s="59">
        <v>87.233164230554422</v>
      </c>
      <c r="Y18" s="81">
        <v>1659.821680060372</v>
      </c>
      <c r="Z18" s="59">
        <v>29.186562537169365</v>
      </c>
    </row>
    <row r="19" spans="1:26" x14ac:dyDescent="0.2">
      <c r="A19" s="29"/>
      <c r="B19" s="86" t="str">
        <f>VLOOKUP("&lt;T2Zeilentitel_3.2&gt;",Uebersetzungen!$B$3:$E$194,Uebersetzungen!$B$2+1,FALSE)</f>
        <v>25-44</v>
      </c>
      <c r="C19" s="75">
        <v>51462.99999999893</v>
      </c>
      <c r="D19" s="56">
        <v>4.4448967572292055</v>
      </c>
      <c r="E19" s="75">
        <v>46053.578679674589</v>
      </c>
      <c r="F19" s="56">
        <v>4.7705496606818105</v>
      </c>
      <c r="G19" s="75">
        <v>44822.287313123576</v>
      </c>
      <c r="H19" s="56">
        <v>4.842211192996686</v>
      </c>
      <c r="I19" s="75">
        <v>32836.196051644198</v>
      </c>
      <c r="J19" s="56">
        <v>5.9612793401862136</v>
      </c>
      <c r="K19" s="75">
        <v>4315.5182268313747</v>
      </c>
      <c r="L19" s="56">
        <v>17.307704938762345</v>
      </c>
      <c r="M19" s="75">
        <v>3250.3745194788989</v>
      </c>
      <c r="N19" s="56">
        <v>19.935479321176341</v>
      </c>
      <c r="O19" s="75">
        <v>4420.1985151690351</v>
      </c>
      <c r="P19" s="56">
        <v>16.94886204710842</v>
      </c>
      <c r="Q19" s="81">
        <v>1231.2913665510157</v>
      </c>
      <c r="R19" s="59">
        <v>36.216289525685411</v>
      </c>
      <c r="S19" s="81">
        <v>1016.0010631982365</v>
      </c>
      <c r="T19" s="59">
        <v>38.743612636803398</v>
      </c>
      <c r="U19" s="75">
        <v>2777.4310787967079</v>
      </c>
      <c r="V19" s="56">
        <v>22.308965594696261</v>
      </c>
      <c r="W19" s="19">
        <v>579.35041191898574</v>
      </c>
      <c r="X19" s="59">
        <v>52.144161105370493</v>
      </c>
      <c r="Y19" s="81">
        <v>1036.6387664104748</v>
      </c>
      <c r="Z19" s="59">
        <v>38.91053447733308</v>
      </c>
    </row>
    <row r="20" spans="1:26" x14ac:dyDescent="0.2">
      <c r="A20" s="29"/>
      <c r="B20" s="86" t="str">
        <f>VLOOKUP("&lt;T2Zeilentitel_3.3&gt;",Uebersetzungen!$B$3:$E$194,Uebersetzungen!$B$2+1,FALSE)</f>
        <v>45-64</v>
      </c>
      <c r="C20" s="75">
        <v>59159.999999999367</v>
      </c>
      <c r="D20" s="56">
        <v>3.7416967720996337</v>
      </c>
      <c r="E20" s="75">
        <v>49345.08728720111</v>
      </c>
      <c r="F20" s="56">
        <v>4.2715079096661492</v>
      </c>
      <c r="G20" s="75">
        <v>48598.711154179327</v>
      </c>
      <c r="H20" s="56">
        <v>4.3117751968688331</v>
      </c>
      <c r="I20" s="75">
        <v>32613.539012909376</v>
      </c>
      <c r="J20" s="56">
        <v>5.6877455166937647</v>
      </c>
      <c r="K20" s="75">
        <v>5922.0994930460638</v>
      </c>
      <c r="L20" s="56">
        <v>14.056677684591861</v>
      </c>
      <c r="M20" s="75">
        <v>5424.7373192974455</v>
      </c>
      <c r="N20" s="56">
        <v>14.584565584328294</v>
      </c>
      <c r="O20" s="75">
        <v>4638.3353289263896</v>
      </c>
      <c r="P20" s="56">
        <v>15.816305408469526</v>
      </c>
      <c r="Q20" s="19">
        <v>746.37613302177954</v>
      </c>
      <c r="R20" s="59">
        <v>43.628512978459668</v>
      </c>
      <c r="S20" s="18" t="s">
        <v>334</v>
      </c>
      <c r="T20" s="56" t="s">
        <v>334</v>
      </c>
      <c r="U20" s="75">
        <v>3511.6842616795511</v>
      </c>
      <c r="V20" s="56">
        <v>18.655639686605372</v>
      </c>
      <c r="W20" s="75">
        <v>4992.8217244408634</v>
      </c>
      <c r="X20" s="56">
        <v>15.830364387421477</v>
      </c>
      <c r="Y20" s="81">
        <v>1310.4067266778857</v>
      </c>
      <c r="Z20" s="59">
        <v>31.564796346601558</v>
      </c>
    </row>
    <row r="21" spans="1:26" x14ac:dyDescent="0.2">
      <c r="A21" s="29"/>
      <c r="B21" s="86" t="str">
        <f>VLOOKUP("&lt;T2Zeilentitel_3.4&gt;",Uebersetzungen!$B$3:$E$194,Uebersetzungen!$B$2+1,FALSE)</f>
        <v>65 und mehr</v>
      </c>
      <c r="C21" s="93">
        <v>45190.999999998872</v>
      </c>
      <c r="D21" s="58">
        <v>4.5137334996911411</v>
      </c>
      <c r="E21" s="93">
        <v>4275.9011696967336</v>
      </c>
      <c r="F21" s="58">
        <v>16.642229945767468</v>
      </c>
      <c r="G21" s="93">
        <v>4275.9011696967336</v>
      </c>
      <c r="H21" s="58">
        <v>16.642229945767468</v>
      </c>
      <c r="I21" s="95">
        <v>860.39477559944009</v>
      </c>
      <c r="J21" s="90">
        <v>37.86493261576404</v>
      </c>
      <c r="K21" s="95">
        <v>377.51833140247157</v>
      </c>
      <c r="L21" s="90">
        <v>55.784483071719251</v>
      </c>
      <c r="M21" s="95">
        <v>492.91676914462391</v>
      </c>
      <c r="N21" s="90">
        <v>48.698707279117968</v>
      </c>
      <c r="O21" s="93">
        <v>2545.0712935501979</v>
      </c>
      <c r="P21" s="58">
        <v>21.744435986388634</v>
      </c>
      <c r="Q21" s="26" t="s">
        <v>334</v>
      </c>
      <c r="R21" s="58" t="s">
        <v>334</v>
      </c>
      <c r="S21" s="97" t="s">
        <v>334</v>
      </c>
      <c r="T21" s="58" t="s">
        <v>334</v>
      </c>
      <c r="U21" s="26" t="s">
        <v>334</v>
      </c>
      <c r="V21" s="58" t="s">
        <v>334</v>
      </c>
      <c r="W21" s="93">
        <v>40851.25784180894</v>
      </c>
      <c r="X21" s="58">
        <v>4.8419815005128388</v>
      </c>
      <c r="Y21" s="26" t="s">
        <v>334</v>
      </c>
      <c r="Z21" s="58" t="s">
        <v>334</v>
      </c>
    </row>
    <row r="22" spans="1:26" x14ac:dyDescent="0.2">
      <c r="A22" s="54" t="str">
        <f>VLOOKUP("&lt;T2Zeilentitel_4&gt;",Uebersetzungen!$B$3:$E$194,Uebersetzungen!$B$2+1,FALSE)</f>
        <v>Staatsangehörigkeit</v>
      </c>
      <c r="B22" s="87" t="str">
        <f>VLOOKUP("&lt;T2Zeilentitel_4.1&gt;",Uebersetzungen!$B$3:$E$194,Uebersetzungen!$B$2+1,FALSE)</f>
        <v>Schweiz</v>
      </c>
      <c r="C22" s="75">
        <v>139295.99999999735</v>
      </c>
      <c r="D22" s="56">
        <v>1.3380059828042574</v>
      </c>
      <c r="E22" s="75">
        <v>83197.454638584153</v>
      </c>
      <c r="F22" s="56">
        <v>2.8479815924024865</v>
      </c>
      <c r="G22" s="75">
        <v>81960.895710868921</v>
      </c>
      <c r="H22" s="56">
        <v>2.8834762803351612</v>
      </c>
      <c r="I22" s="75">
        <v>53487.876209356575</v>
      </c>
      <c r="J22" s="56">
        <v>4.1597532694218318</v>
      </c>
      <c r="K22" s="75">
        <v>9195.1495534367041</v>
      </c>
      <c r="L22" s="56">
        <v>11.308291812177572</v>
      </c>
      <c r="M22" s="75">
        <v>8082.0992562660258</v>
      </c>
      <c r="N22" s="56">
        <v>11.962748726346561</v>
      </c>
      <c r="O22" s="75">
        <v>11195.770691809592</v>
      </c>
      <c r="P22" s="56">
        <v>10.179281153381989</v>
      </c>
      <c r="Q22" s="81">
        <v>1236.5589277152499</v>
      </c>
      <c r="R22" s="59">
        <v>34.373673462069135</v>
      </c>
      <c r="S22" s="75">
        <v>6876.3677101172379</v>
      </c>
      <c r="T22" s="56">
        <v>14.042941320985415</v>
      </c>
      <c r="U22" s="75">
        <v>4241.1606569036931</v>
      </c>
      <c r="V22" s="56">
        <v>16.974944004478093</v>
      </c>
      <c r="W22" s="75">
        <v>42300.246211765028</v>
      </c>
      <c r="X22" s="56">
        <v>4.7233592858362909</v>
      </c>
      <c r="Y22" s="75">
        <v>2680.7707826272517</v>
      </c>
      <c r="Z22" s="56">
        <v>22.48788563948132</v>
      </c>
    </row>
    <row r="23" spans="1:26" x14ac:dyDescent="0.2">
      <c r="A23" s="29"/>
      <c r="B23" s="86" t="str">
        <f>VLOOKUP("&lt;T2Zeilentitel_4.2&gt;",Uebersetzungen!$B$3:$E$194,Uebersetzungen!$B$2+1,FALSE)</f>
        <v>EU und EFTA</v>
      </c>
      <c r="C23" s="75">
        <v>27958.370138491264</v>
      </c>
      <c r="D23" s="56">
        <v>6.6025354696033016</v>
      </c>
      <c r="E23" s="75">
        <v>21941.9611190777</v>
      </c>
      <c r="F23" s="56">
        <v>7.6277742470139822</v>
      </c>
      <c r="G23" s="75">
        <v>21401.560900318349</v>
      </c>
      <c r="H23" s="56">
        <v>7.7311850763882246</v>
      </c>
      <c r="I23" s="75">
        <v>17745.067472468061</v>
      </c>
      <c r="J23" s="56">
        <v>8.6205446970438597</v>
      </c>
      <c r="K23" s="81">
        <v>1569.1470007895985</v>
      </c>
      <c r="L23" s="59">
        <v>29.2850541929838</v>
      </c>
      <c r="M23" s="81">
        <v>1262.6840960786785</v>
      </c>
      <c r="N23" s="59">
        <v>33.421702524315954</v>
      </c>
      <c r="O23" s="19">
        <v>824.6623309820028</v>
      </c>
      <c r="P23" s="59">
        <v>40.571819880975838</v>
      </c>
      <c r="Q23" s="19">
        <v>540.40021875934315</v>
      </c>
      <c r="R23" s="59">
        <v>52.614244513417425</v>
      </c>
      <c r="S23" s="81">
        <v>1061.9178695387136</v>
      </c>
      <c r="T23" s="59">
        <v>37.965524166770933</v>
      </c>
      <c r="U23" s="19">
        <v>726.95302322568079</v>
      </c>
      <c r="V23" s="59">
        <v>42.218215036758203</v>
      </c>
      <c r="W23" s="75">
        <v>3450.8145313073715</v>
      </c>
      <c r="X23" s="56">
        <v>19.545574567650238</v>
      </c>
      <c r="Y23" s="19">
        <v>776.72359534181385</v>
      </c>
      <c r="Z23" s="59">
        <v>42.457471399650167</v>
      </c>
    </row>
    <row r="24" spans="1:26" x14ac:dyDescent="0.2">
      <c r="A24" s="29"/>
      <c r="B24" s="86" t="str">
        <f>VLOOKUP("&lt;T2Zeilentitel_4.3&gt;",Uebersetzungen!$B$3:$E$194,Uebersetzungen!$B$2+1,FALSE)</f>
        <v>Andere europäische Staaten</v>
      </c>
      <c r="C24" s="75">
        <v>3796.6133258198647</v>
      </c>
      <c r="D24" s="56">
        <v>20.627411914711942</v>
      </c>
      <c r="E24" s="81">
        <v>2015.055359307685</v>
      </c>
      <c r="F24" s="59">
        <v>28.560365889244615</v>
      </c>
      <c r="G24" s="81">
        <v>1663.4579463823716</v>
      </c>
      <c r="H24" s="59">
        <v>30.944572783646116</v>
      </c>
      <c r="I24" s="81">
        <v>1044.0018752892452</v>
      </c>
      <c r="J24" s="59">
        <v>40.011141926421466</v>
      </c>
      <c r="K24" s="83" t="s">
        <v>334</v>
      </c>
      <c r="L24" s="56" t="s">
        <v>334</v>
      </c>
      <c r="M24" s="19">
        <v>175.45134689606195</v>
      </c>
      <c r="N24" s="59">
        <v>87.105151272145648</v>
      </c>
      <c r="O24" s="19">
        <v>285.59130354060852</v>
      </c>
      <c r="P24" s="59">
        <v>73.949284509293946</v>
      </c>
      <c r="Q24" s="19">
        <v>351.59741292531334</v>
      </c>
      <c r="R24" s="59">
        <v>73.683181108574246</v>
      </c>
      <c r="S24" s="83" t="s">
        <v>334</v>
      </c>
      <c r="T24" s="56" t="s">
        <v>334</v>
      </c>
      <c r="U24" s="19">
        <v>680.41183895683685</v>
      </c>
      <c r="V24" s="59">
        <v>48.882103876170198</v>
      </c>
      <c r="W24" s="19">
        <v>687.42992088994538</v>
      </c>
      <c r="X24" s="59">
        <v>47.481766197945731</v>
      </c>
      <c r="Y24" s="19">
        <v>234.49227488923074</v>
      </c>
      <c r="Z24" s="59">
        <v>86.667056641420515</v>
      </c>
    </row>
    <row r="25" spans="1:26" x14ac:dyDescent="0.2">
      <c r="A25" s="29"/>
      <c r="B25" s="86" t="str">
        <f>VLOOKUP("&lt;T2Zeilentitel_4.4&gt;",Uebersetzungen!$B$3:$E$194,Uebersetzungen!$B$2+1,FALSE)</f>
        <v>Andere Staaten</v>
      </c>
      <c r="C25" s="75">
        <v>3560.0165356888847</v>
      </c>
      <c r="D25" s="56">
        <v>20.772325995727456</v>
      </c>
      <c r="E25" s="75">
        <v>2099.8431369518948</v>
      </c>
      <c r="F25" s="56">
        <v>27.315540341691705</v>
      </c>
      <c r="G25" s="81">
        <v>1934.222979376425</v>
      </c>
      <c r="H25" s="59">
        <v>28.496837219543227</v>
      </c>
      <c r="I25" s="81">
        <v>1455.3600552066371</v>
      </c>
      <c r="J25" s="59">
        <v>33.44799619540948</v>
      </c>
      <c r="K25" s="19">
        <v>194.20809476051508</v>
      </c>
      <c r="L25" s="59">
        <v>88.915815076495221</v>
      </c>
      <c r="M25" s="83" t="s">
        <v>334</v>
      </c>
      <c r="N25" s="56" t="s">
        <v>334</v>
      </c>
      <c r="O25" s="83" t="s">
        <v>334</v>
      </c>
      <c r="P25" s="56" t="s">
        <v>334</v>
      </c>
      <c r="Q25" s="83" t="s">
        <v>334</v>
      </c>
      <c r="R25" s="56" t="s">
        <v>334</v>
      </c>
      <c r="S25" s="19">
        <v>295.90913463346556</v>
      </c>
      <c r="T25" s="59">
        <v>73.4244005763004</v>
      </c>
      <c r="U25" s="19">
        <v>640.58982139005047</v>
      </c>
      <c r="V25" s="59">
        <v>46.958429452513542</v>
      </c>
      <c r="W25" s="19">
        <v>208.79392242303902</v>
      </c>
      <c r="X25" s="59">
        <v>86.569117291196577</v>
      </c>
      <c r="Y25" s="19">
        <v>314.88052029043592</v>
      </c>
      <c r="Z25" s="59">
        <v>73.250557202994514</v>
      </c>
    </row>
    <row r="26" spans="1:26" x14ac:dyDescent="0.2">
      <c r="A26" s="29"/>
      <c r="B26" s="86" t="str">
        <f>VLOOKUP("&lt;T2Zeilentitel_4.5&gt;",Uebersetzungen!$B$3:$E$194,Uebersetzungen!$B$2+1,FALSE)</f>
        <v>Staatsangehörigkeit unbekannt</v>
      </c>
      <c r="C26" s="26" t="s">
        <v>334</v>
      </c>
      <c r="D26" s="58" t="s">
        <v>334</v>
      </c>
      <c r="E26" s="26" t="s">
        <v>334</v>
      </c>
      <c r="F26" s="58" t="s">
        <v>334</v>
      </c>
      <c r="G26" s="26" t="s">
        <v>334</v>
      </c>
      <c r="H26" s="58" t="s">
        <v>334</v>
      </c>
      <c r="I26" s="26" t="s">
        <v>334</v>
      </c>
      <c r="J26" s="58" t="s">
        <v>334</v>
      </c>
      <c r="K26" s="26" t="s">
        <v>334</v>
      </c>
      <c r="L26" s="58" t="s">
        <v>334</v>
      </c>
      <c r="M26" s="26" t="s">
        <v>334</v>
      </c>
      <c r="N26" s="58" t="s">
        <v>334</v>
      </c>
      <c r="O26" s="26" t="s">
        <v>334</v>
      </c>
      <c r="P26" s="58" t="s">
        <v>334</v>
      </c>
      <c r="Q26" s="26" t="s">
        <v>334</v>
      </c>
      <c r="R26" s="58" t="s">
        <v>334</v>
      </c>
      <c r="S26" s="26" t="s">
        <v>334</v>
      </c>
      <c r="T26" s="58" t="s">
        <v>334</v>
      </c>
      <c r="U26" s="26" t="s">
        <v>334</v>
      </c>
      <c r="V26" s="58" t="s">
        <v>334</v>
      </c>
      <c r="W26" s="26" t="s">
        <v>334</v>
      </c>
      <c r="X26" s="58" t="s">
        <v>334</v>
      </c>
      <c r="Y26" s="26" t="s">
        <v>334</v>
      </c>
      <c r="Z26" s="58" t="s">
        <v>334</v>
      </c>
    </row>
    <row r="27" spans="1:26" ht="25.5" x14ac:dyDescent="0.2">
      <c r="A27" s="54" t="str">
        <f>VLOOKUP("&lt;T2Zeilentitel_5&gt;",Uebersetzungen!$B$3:$E$194,Uebersetzungen!$B$2+1,FALSE)</f>
        <v>Migrationsstatus</v>
      </c>
      <c r="B27" s="87" t="str">
        <f>VLOOKUP("&lt;T2Zeilentitel_5.1&gt;",Uebersetzungen!$B$3:$E$194,Uebersetzungen!$B$2+1,FALSE)</f>
        <v>Schweizer/innen ohne Migrationshintergrund</v>
      </c>
      <c r="C27" s="75">
        <v>120977.06466216035</v>
      </c>
      <c r="D27" s="56">
        <v>1.7908926997663743</v>
      </c>
      <c r="E27" s="75">
        <v>72576.953121896702</v>
      </c>
      <c r="F27" s="56">
        <v>3.2314427211462728</v>
      </c>
      <c r="G27" s="75">
        <v>71489.444347959274</v>
      </c>
      <c r="H27" s="56">
        <v>3.2675204300893315</v>
      </c>
      <c r="I27" s="75">
        <v>46504.757129687954</v>
      </c>
      <c r="J27" s="56">
        <v>4.5928033504505867</v>
      </c>
      <c r="K27" s="75">
        <v>7987.3395952063547</v>
      </c>
      <c r="L27" s="56">
        <v>12.220514753061302</v>
      </c>
      <c r="M27" s="75">
        <v>6998.434770414684</v>
      </c>
      <c r="N27" s="56">
        <v>12.910111874636579</v>
      </c>
      <c r="O27" s="75">
        <v>9998.9128526502154</v>
      </c>
      <c r="P27" s="56">
        <v>10.828729320610218</v>
      </c>
      <c r="Q27" s="81">
        <v>1087.5087739374158</v>
      </c>
      <c r="R27" s="59">
        <v>36.795651699994615</v>
      </c>
      <c r="S27" s="75">
        <v>5893.3829376885014</v>
      </c>
      <c r="T27" s="56">
        <v>15.196229505402735</v>
      </c>
      <c r="U27" s="75">
        <v>3475.0879936614383</v>
      </c>
      <c r="V27" s="56">
        <v>18.802194756821041</v>
      </c>
      <c r="W27" s="75">
        <v>36660.645662252675</v>
      </c>
      <c r="X27" s="56">
        <v>5.1795172354606347</v>
      </c>
      <c r="Y27" s="75">
        <v>2370.9949466611274</v>
      </c>
      <c r="Z27" s="56">
        <v>24.015129960292178</v>
      </c>
    </row>
    <row r="28" spans="1:26" ht="25.5" x14ac:dyDescent="0.2">
      <c r="A28" s="29"/>
      <c r="B28" s="86" t="str">
        <f>VLOOKUP("&lt;T2Zeilentitel_5.2&gt;",Uebersetzungen!$B$3:$E$194,Uebersetzungen!$B$2+1,FALSE)</f>
        <v>Schweizer/innen mit Migrationshintergrund</v>
      </c>
      <c r="C28" s="75">
        <v>17229.463930897593</v>
      </c>
      <c r="D28" s="56">
        <v>8.1676596389216218</v>
      </c>
      <c r="E28" s="75">
        <v>10274.482230801026</v>
      </c>
      <c r="F28" s="56">
        <v>10.784259140381458</v>
      </c>
      <c r="G28" s="75">
        <v>10125.432077023192</v>
      </c>
      <c r="H28" s="56">
        <v>10.860124446686935</v>
      </c>
      <c r="I28" s="75">
        <v>6729.1219969162712</v>
      </c>
      <c r="J28" s="56">
        <v>13.640193542747635</v>
      </c>
      <c r="K28" s="81">
        <v>1178.0043185089798</v>
      </c>
      <c r="L28" s="59">
        <v>31.720635151949711</v>
      </c>
      <c r="M28" s="81">
        <v>1021.4479224385724</v>
      </c>
      <c r="N28" s="59">
        <v>34.290619641531649</v>
      </c>
      <c r="O28" s="81">
        <v>1196.8578391593767</v>
      </c>
      <c r="P28" s="59">
        <v>31.744425242307088</v>
      </c>
      <c r="Q28" s="83" t="s">
        <v>334</v>
      </c>
      <c r="R28" s="56" t="s">
        <v>334</v>
      </c>
      <c r="S28" s="19">
        <v>906.54885532693675</v>
      </c>
      <c r="T28" s="59">
        <v>39.506530530474542</v>
      </c>
      <c r="U28" s="19">
        <v>766.07266324225304</v>
      </c>
      <c r="V28" s="59">
        <v>40.311705631756794</v>
      </c>
      <c r="W28" s="75">
        <v>5006.2788148205609</v>
      </c>
      <c r="X28" s="56">
        <v>15.679507725772705</v>
      </c>
      <c r="Y28" s="19">
        <v>276.08136670680659</v>
      </c>
      <c r="Z28" s="59">
        <v>68.810179350407481</v>
      </c>
    </row>
    <row r="29" spans="1:26" ht="25.5" x14ac:dyDescent="0.2">
      <c r="A29" s="29"/>
      <c r="B29" s="86" t="str">
        <f>VLOOKUP("&lt;T2Zeilentitel_5.3&gt;",Uebersetzungen!$B$3:$E$194,Uebersetzungen!$B$2+1,FALSE)</f>
        <v>Ausländer/innen der ersten Generation</v>
      </c>
      <c r="C29" s="75">
        <v>33029.912874495341</v>
      </c>
      <c r="D29" s="56">
        <v>6.0597300136581662</v>
      </c>
      <c r="E29" s="75">
        <v>24626.058641521544</v>
      </c>
      <c r="F29" s="56">
        <v>7.2136856437809671</v>
      </c>
      <c r="G29" s="75">
        <v>23568.440852261432</v>
      </c>
      <c r="H29" s="56">
        <v>7.3734199890913237</v>
      </c>
      <c r="I29" s="75">
        <v>19081.067105499784</v>
      </c>
      <c r="J29" s="56">
        <v>8.3496482350634551</v>
      </c>
      <c r="K29" s="81">
        <v>1779.0515052688811</v>
      </c>
      <c r="L29" s="59">
        <v>27.783851521747305</v>
      </c>
      <c r="M29" s="81">
        <v>1554.5228947644873</v>
      </c>
      <c r="N29" s="59">
        <v>30.018537892643284</v>
      </c>
      <c r="O29" s="81">
        <v>1153.7993467282761</v>
      </c>
      <c r="P29" s="59">
        <v>34.408918422210782</v>
      </c>
      <c r="Q29" s="81">
        <v>1057.6177892601261</v>
      </c>
      <c r="R29" s="59">
        <v>39.340658100812107</v>
      </c>
      <c r="S29" s="19">
        <v>872.30494582571066</v>
      </c>
      <c r="T29" s="59">
        <v>42.31944031852332</v>
      </c>
      <c r="U29" s="75">
        <v>2047.9546835725682</v>
      </c>
      <c r="V29" s="56">
        <v>26.440546888204775</v>
      </c>
      <c r="W29" s="75">
        <v>4266.2900554933258</v>
      </c>
      <c r="X29" s="56">
        <v>17.805084952379595</v>
      </c>
      <c r="Y29" s="81">
        <v>1217.3045480821813</v>
      </c>
      <c r="Z29" s="59">
        <v>35.615750752157325</v>
      </c>
    </row>
    <row r="30" spans="1:26" ht="25.5" x14ac:dyDescent="0.2">
      <c r="A30" s="29"/>
      <c r="B30" s="86" t="str">
        <f>VLOOKUP("&lt;T2Zeilentitel_5.4&gt;",Uebersetzungen!$B$3:$E$194,Uebersetzungen!$B$2+1,FALSE)</f>
        <v>Ausländer/innen der zweiten und höheren Generation</v>
      </c>
      <c r="C30" s="75">
        <v>2242.168735767219</v>
      </c>
      <c r="D30" s="56">
        <v>25.999294713757749</v>
      </c>
      <c r="E30" s="81">
        <v>1430.8009738157064</v>
      </c>
      <c r="F30" s="59">
        <v>32.552539557330007</v>
      </c>
      <c r="G30" s="81">
        <v>1430.8009738157064</v>
      </c>
      <c r="H30" s="59">
        <v>32.552539557330007</v>
      </c>
      <c r="I30" s="81">
        <v>1163.3622974641571</v>
      </c>
      <c r="J30" s="59">
        <v>36.24298189731563</v>
      </c>
      <c r="K30" s="83" t="s">
        <v>334</v>
      </c>
      <c r="L30" s="56" t="s">
        <v>334</v>
      </c>
      <c r="M30" s="83" t="s">
        <v>334</v>
      </c>
      <c r="N30" s="56" t="s">
        <v>334</v>
      </c>
      <c r="O30" s="83" t="s">
        <v>334</v>
      </c>
      <c r="P30" s="56" t="s">
        <v>334</v>
      </c>
      <c r="Q30" s="18" t="s">
        <v>334</v>
      </c>
      <c r="R30" s="56" t="s">
        <v>334</v>
      </c>
      <c r="S30" s="19">
        <v>621.82760038518245</v>
      </c>
      <c r="T30" s="59">
        <v>50.16182753343999</v>
      </c>
      <c r="U30" s="18" t="s">
        <v>334</v>
      </c>
      <c r="V30" s="56" t="s">
        <v>334</v>
      </c>
      <c r="W30" s="83" t="s">
        <v>334</v>
      </c>
      <c r="X30" s="56" t="s">
        <v>334</v>
      </c>
      <c r="Y30" s="83" t="s">
        <v>334</v>
      </c>
      <c r="Z30" s="56" t="s">
        <v>334</v>
      </c>
    </row>
    <row r="31" spans="1:26" x14ac:dyDescent="0.2">
      <c r="A31" s="29"/>
      <c r="B31" s="86" t="str">
        <f>VLOOKUP("&lt;T2Zeilentitel_5.5&gt;",Uebersetzungen!$B$3:$E$194,Uebersetzungen!$B$2+1,FALSE)</f>
        <v>Migrationshintergrund unbekannt</v>
      </c>
      <c r="C31" s="94">
        <v>1132.389796676722</v>
      </c>
      <c r="D31" s="90">
        <v>34.31028951458643</v>
      </c>
      <c r="E31" s="95">
        <v>346.01928588647337</v>
      </c>
      <c r="F31" s="90">
        <v>61.381692226054518</v>
      </c>
      <c r="G31" s="95">
        <v>346.01928588647337</v>
      </c>
      <c r="H31" s="90">
        <v>61.381692226054518</v>
      </c>
      <c r="I31" s="95">
        <v>253.99708275233223</v>
      </c>
      <c r="J31" s="90">
        <v>73.245339543593829</v>
      </c>
      <c r="K31" s="97" t="s">
        <v>334</v>
      </c>
      <c r="L31" s="58" t="s">
        <v>334</v>
      </c>
      <c r="M31" s="97" t="s">
        <v>334</v>
      </c>
      <c r="N31" s="58" t="s">
        <v>334</v>
      </c>
      <c r="O31" s="26" t="s">
        <v>334</v>
      </c>
      <c r="P31" s="58" t="s">
        <v>334</v>
      </c>
      <c r="Q31" s="26" t="s">
        <v>334</v>
      </c>
      <c r="R31" s="58" t="s">
        <v>334</v>
      </c>
      <c r="S31" s="97" t="s">
        <v>334</v>
      </c>
      <c r="T31" s="58" t="s">
        <v>334</v>
      </c>
      <c r="U31" s="26" t="s">
        <v>334</v>
      </c>
      <c r="V31" s="58" t="s">
        <v>334</v>
      </c>
      <c r="W31" s="95">
        <v>633.32173469167788</v>
      </c>
      <c r="X31" s="90">
        <v>45.863742398064097</v>
      </c>
      <c r="Y31" s="97" t="s">
        <v>334</v>
      </c>
      <c r="Z31" s="58" t="s">
        <v>334</v>
      </c>
    </row>
    <row r="32" spans="1:26" ht="12.75" customHeight="1" x14ac:dyDescent="0.2">
      <c r="A32" s="54" t="str">
        <f>VLOOKUP("&lt;T2Zeilentitel_6&gt;",Uebersetzungen!$B$3:$E$194,Uebersetzungen!$B$2+1,FALSE)</f>
        <v>Sozioprofessionelle Kategorien</v>
      </c>
      <c r="B32" s="87" t="str">
        <f>VLOOKUP("&lt;T2Zeilentitel_6.1&gt;",Uebersetzungen!$B$3:$E$194,Uebersetzungen!$B$2+1,FALSE)</f>
        <v>Oberstes Management</v>
      </c>
      <c r="C32" s="75">
        <v>2692.4614986601086</v>
      </c>
      <c r="D32" s="56">
        <v>21.746551361625539</v>
      </c>
      <c r="E32" s="75">
        <v>2692.4614986601086</v>
      </c>
      <c r="F32" s="56">
        <v>21.746551361625539</v>
      </c>
      <c r="G32" s="75">
        <v>2692.4614986601086</v>
      </c>
      <c r="H32" s="56">
        <v>21.746551361625539</v>
      </c>
      <c r="I32" s="75">
        <v>2328.8736092968625</v>
      </c>
      <c r="J32" s="56">
        <v>23.475828816617565</v>
      </c>
      <c r="K32" s="19">
        <v>156.23014307775193</v>
      </c>
      <c r="L32" s="59">
        <v>86.493077911829644</v>
      </c>
      <c r="M32" s="83" t="s">
        <v>334</v>
      </c>
      <c r="N32" s="56" t="s">
        <v>334</v>
      </c>
      <c r="O32" s="83" t="s">
        <v>334</v>
      </c>
      <c r="P32" s="56" t="s">
        <v>334</v>
      </c>
      <c r="Q32" s="98" t="s">
        <v>334</v>
      </c>
      <c r="R32" s="89" t="s">
        <v>334</v>
      </c>
      <c r="S32" s="98" t="s">
        <v>334</v>
      </c>
      <c r="T32" s="89" t="s">
        <v>334</v>
      </c>
      <c r="U32" s="98" t="s">
        <v>334</v>
      </c>
      <c r="V32" s="89" t="s">
        <v>334</v>
      </c>
      <c r="W32" s="98" t="s">
        <v>334</v>
      </c>
      <c r="X32" s="89" t="s">
        <v>334</v>
      </c>
      <c r="Y32" s="98" t="s">
        <v>334</v>
      </c>
      <c r="Z32" s="89" t="s">
        <v>334</v>
      </c>
    </row>
    <row r="33" spans="1:26" x14ac:dyDescent="0.2">
      <c r="A33" s="29"/>
      <c r="B33" s="86" t="str">
        <f>VLOOKUP("&lt;T2Zeilentitel_6.2&gt;",Uebersetzungen!$B$3:$E$194,Uebersetzungen!$B$2+1,FALSE)</f>
        <v>Freie und gleichgestellte Berufe</v>
      </c>
      <c r="C33" s="75">
        <v>2805.8072395718659</v>
      </c>
      <c r="D33" s="56">
        <v>21.179835407272392</v>
      </c>
      <c r="E33" s="75">
        <v>2805.8072395718664</v>
      </c>
      <c r="F33" s="56">
        <v>21.179835407272375</v>
      </c>
      <c r="G33" s="75">
        <v>2805.8072395718664</v>
      </c>
      <c r="H33" s="56">
        <v>21.179835407272375</v>
      </c>
      <c r="I33" s="81">
        <v>1600.3868523309195</v>
      </c>
      <c r="J33" s="59">
        <v>28.518532731747442</v>
      </c>
      <c r="K33" s="19">
        <v>491.60321527150154</v>
      </c>
      <c r="L33" s="59">
        <v>49.938824683376559</v>
      </c>
      <c r="M33" s="19">
        <v>340.80022715678547</v>
      </c>
      <c r="N33" s="59">
        <v>59.212262166288667</v>
      </c>
      <c r="O33" s="19">
        <v>373.01694481265929</v>
      </c>
      <c r="P33" s="59">
        <v>58.399671336331245</v>
      </c>
      <c r="Q33" s="98" t="s">
        <v>334</v>
      </c>
      <c r="R33" s="89" t="s">
        <v>334</v>
      </c>
      <c r="S33" s="98" t="s">
        <v>334</v>
      </c>
      <c r="T33" s="89" t="s">
        <v>334</v>
      </c>
      <c r="U33" s="98" t="s">
        <v>334</v>
      </c>
      <c r="V33" s="89" t="s">
        <v>334</v>
      </c>
      <c r="W33" s="98" t="s">
        <v>334</v>
      </c>
      <c r="X33" s="89" t="s">
        <v>334</v>
      </c>
      <c r="Y33" s="98" t="s">
        <v>334</v>
      </c>
      <c r="Z33" s="89" t="s">
        <v>334</v>
      </c>
    </row>
    <row r="34" spans="1:26" x14ac:dyDescent="0.2">
      <c r="A34" s="29"/>
      <c r="B34" s="86" t="str">
        <f>VLOOKUP("&lt;T2Zeilentitel_6.3&gt;",Uebersetzungen!$B$3:$E$194,Uebersetzungen!$B$2+1,FALSE)</f>
        <v>Andere Selbstständige</v>
      </c>
      <c r="C34" s="75">
        <v>12242.053867118344</v>
      </c>
      <c r="D34" s="56">
        <v>10.03443496957934</v>
      </c>
      <c r="E34" s="75">
        <v>12242.053867118348</v>
      </c>
      <c r="F34" s="56">
        <v>10.034434969579337</v>
      </c>
      <c r="G34" s="75">
        <v>12242.053867118348</v>
      </c>
      <c r="H34" s="56">
        <v>10.034434969579337</v>
      </c>
      <c r="I34" s="75">
        <v>8957.7328297839595</v>
      </c>
      <c r="J34" s="56">
        <v>11.948090242189021</v>
      </c>
      <c r="K34" s="19">
        <v>394.98997720996658</v>
      </c>
      <c r="L34" s="59">
        <v>56.025185351304145</v>
      </c>
      <c r="M34" s="19">
        <v>992.61103467635053</v>
      </c>
      <c r="N34" s="59">
        <v>35.937267270157761</v>
      </c>
      <c r="O34" s="75">
        <v>1896.7200254480665</v>
      </c>
      <c r="P34" s="56">
        <v>25.604965898451546</v>
      </c>
      <c r="Q34" s="98" t="s">
        <v>334</v>
      </c>
      <c r="R34" s="89" t="s">
        <v>334</v>
      </c>
      <c r="S34" s="98" t="s">
        <v>334</v>
      </c>
      <c r="T34" s="89" t="s">
        <v>334</v>
      </c>
      <c r="U34" s="98" t="s">
        <v>334</v>
      </c>
      <c r="V34" s="89" t="s">
        <v>334</v>
      </c>
      <c r="W34" s="98" t="s">
        <v>334</v>
      </c>
      <c r="X34" s="89" t="s">
        <v>334</v>
      </c>
      <c r="Y34" s="98" t="s">
        <v>334</v>
      </c>
      <c r="Z34" s="89" t="s">
        <v>334</v>
      </c>
    </row>
    <row r="35" spans="1:26" ht="12.75" customHeight="1" x14ac:dyDescent="0.2">
      <c r="A35" s="29"/>
      <c r="B35" s="86" t="str">
        <f>VLOOKUP("&lt;T2Zeilentitel_6.4&gt;",Uebersetzungen!$B$3:$E$194,Uebersetzungen!$B$2+1,FALSE)</f>
        <v>Akademische Berufe und oberes Kader</v>
      </c>
      <c r="C35" s="75">
        <v>16131.724467909718</v>
      </c>
      <c r="D35" s="56">
        <v>8.5165148068226397</v>
      </c>
      <c r="E35" s="75">
        <v>16131.724467909726</v>
      </c>
      <c r="F35" s="56">
        <v>8.5165148068226362</v>
      </c>
      <c r="G35" s="75">
        <v>16131.724467909726</v>
      </c>
      <c r="H35" s="56">
        <v>8.5165148068226362</v>
      </c>
      <c r="I35" s="75">
        <v>11250.590265773168</v>
      </c>
      <c r="J35" s="56">
        <v>10.441261517527822</v>
      </c>
      <c r="K35" s="75">
        <v>2204.6495608570508</v>
      </c>
      <c r="L35" s="56">
        <v>23.787855530522837</v>
      </c>
      <c r="M35" s="81">
        <v>1488.0455907461283</v>
      </c>
      <c r="N35" s="59">
        <v>28.443037296077829</v>
      </c>
      <c r="O35" s="81">
        <v>1188.4390505333711</v>
      </c>
      <c r="P35" s="59">
        <v>32.267439434550084</v>
      </c>
      <c r="Q35" s="98" t="s">
        <v>334</v>
      </c>
      <c r="R35" s="89" t="s">
        <v>334</v>
      </c>
      <c r="S35" s="98" t="s">
        <v>334</v>
      </c>
      <c r="T35" s="89" t="s">
        <v>334</v>
      </c>
      <c r="U35" s="98" t="s">
        <v>334</v>
      </c>
      <c r="V35" s="89" t="s">
        <v>334</v>
      </c>
      <c r="W35" s="98" t="s">
        <v>334</v>
      </c>
      <c r="X35" s="89" t="s">
        <v>334</v>
      </c>
      <c r="Y35" s="98" t="s">
        <v>334</v>
      </c>
      <c r="Z35" s="89" t="s">
        <v>334</v>
      </c>
    </row>
    <row r="36" spans="1:26" x14ac:dyDescent="0.2">
      <c r="A36" s="29"/>
      <c r="B36" s="86" t="str">
        <f>VLOOKUP("&lt;T2Zeilentitel_6.5&gt;",Uebersetzungen!$B$3:$E$194,Uebersetzungen!$B$2+1,FALSE)</f>
        <v>Intermediäre Berufe</v>
      </c>
      <c r="C36" s="75">
        <v>32353.68349422406</v>
      </c>
      <c r="D36" s="56">
        <v>5.7730507066936649</v>
      </c>
      <c r="E36" s="75">
        <v>32353.683494224042</v>
      </c>
      <c r="F36" s="56">
        <v>5.7730507066936791</v>
      </c>
      <c r="G36" s="75">
        <v>32353.683494224042</v>
      </c>
      <c r="H36" s="56">
        <v>5.7730507066936791</v>
      </c>
      <c r="I36" s="75">
        <v>21821.479576262886</v>
      </c>
      <c r="J36" s="56">
        <v>7.3837335767169652</v>
      </c>
      <c r="K36" s="75">
        <v>3951.2567747983685</v>
      </c>
      <c r="L36" s="56">
        <v>17.607698222388194</v>
      </c>
      <c r="M36" s="75">
        <v>2931.3492626619632</v>
      </c>
      <c r="N36" s="56">
        <v>20.319750957717112</v>
      </c>
      <c r="O36" s="75">
        <v>3649.5978805008403</v>
      </c>
      <c r="P36" s="56">
        <v>18.434187055066829</v>
      </c>
      <c r="Q36" s="98" t="s">
        <v>334</v>
      </c>
      <c r="R36" s="89" t="s">
        <v>334</v>
      </c>
      <c r="S36" s="98" t="s">
        <v>334</v>
      </c>
      <c r="T36" s="89" t="s">
        <v>334</v>
      </c>
      <c r="U36" s="98" t="s">
        <v>334</v>
      </c>
      <c r="V36" s="89" t="s">
        <v>334</v>
      </c>
      <c r="W36" s="98" t="s">
        <v>334</v>
      </c>
      <c r="X36" s="89" t="s">
        <v>334</v>
      </c>
      <c r="Y36" s="98" t="s">
        <v>334</v>
      </c>
      <c r="Z36" s="89" t="s">
        <v>334</v>
      </c>
    </row>
    <row r="37" spans="1:26" x14ac:dyDescent="0.2">
      <c r="A37" s="29"/>
      <c r="B37" s="86" t="str">
        <f>VLOOKUP("&lt;T2Zeilentitel_6.6&gt;",Uebersetzungen!$B$3:$E$194,Uebersetzungen!$B$2+1,FALSE)</f>
        <v>Qualifizierte nichtmanuelle Berufe</v>
      </c>
      <c r="C37" s="75">
        <v>19713.229261553566</v>
      </c>
      <c r="D37" s="56">
        <v>7.7075461590373937</v>
      </c>
      <c r="E37" s="75">
        <v>19713.229261553559</v>
      </c>
      <c r="F37" s="56">
        <v>7.7075461590373964</v>
      </c>
      <c r="G37" s="75">
        <v>19713.229261553559</v>
      </c>
      <c r="H37" s="56">
        <v>7.7075461590373964</v>
      </c>
      <c r="I37" s="75">
        <v>10698.58075602407</v>
      </c>
      <c r="J37" s="56">
        <v>10.950117500287567</v>
      </c>
      <c r="K37" s="75">
        <v>2782.2620450669679</v>
      </c>
      <c r="L37" s="56">
        <v>21.433937763567002</v>
      </c>
      <c r="M37" s="75">
        <v>2727.1151560442163</v>
      </c>
      <c r="N37" s="56">
        <v>21.327416858245638</v>
      </c>
      <c r="O37" s="75">
        <v>3505.2713044183133</v>
      </c>
      <c r="P37" s="56">
        <v>18.638590590511765</v>
      </c>
      <c r="Q37" s="98" t="s">
        <v>334</v>
      </c>
      <c r="R37" s="89" t="s">
        <v>334</v>
      </c>
      <c r="S37" s="98" t="s">
        <v>334</v>
      </c>
      <c r="T37" s="89" t="s">
        <v>334</v>
      </c>
      <c r="U37" s="98" t="s">
        <v>334</v>
      </c>
      <c r="V37" s="89" t="s">
        <v>334</v>
      </c>
      <c r="W37" s="98" t="s">
        <v>334</v>
      </c>
      <c r="X37" s="89" t="s">
        <v>334</v>
      </c>
      <c r="Y37" s="98" t="s">
        <v>334</v>
      </c>
      <c r="Z37" s="89" t="s">
        <v>334</v>
      </c>
    </row>
    <row r="38" spans="1:26" x14ac:dyDescent="0.2">
      <c r="A38" s="29"/>
      <c r="B38" s="86" t="str">
        <f>VLOOKUP("&lt;T2Zeilentitel_6.7&gt;",Uebersetzungen!$B$3:$E$194,Uebersetzungen!$B$2+1,FALSE)</f>
        <v>Qualifizierte manuelle Berufe</v>
      </c>
      <c r="C38" s="75">
        <v>10072.44554153971</v>
      </c>
      <c r="D38" s="56">
        <v>11.593248132360142</v>
      </c>
      <c r="E38" s="75">
        <v>10072.445541539711</v>
      </c>
      <c r="F38" s="56">
        <v>11.59324813236014</v>
      </c>
      <c r="G38" s="75">
        <v>10072.445541539711</v>
      </c>
      <c r="H38" s="56">
        <v>11.59324813236014</v>
      </c>
      <c r="I38" s="75">
        <v>8834.3714944390122</v>
      </c>
      <c r="J38" s="56">
        <v>12.5079076637971</v>
      </c>
      <c r="K38" s="19">
        <v>308.76400340894952</v>
      </c>
      <c r="L38" s="59">
        <v>64.38390426498178</v>
      </c>
      <c r="M38" s="19">
        <v>555.87434079340994</v>
      </c>
      <c r="N38" s="59">
        <v>48.488985528944859</v>
      </c>
      <c r="O38" s="19">
        <v>373.43570289833804</v>
      </c>
      <c r="P38" s="59">
        <v>58.364454864274983</v>
      </c>
      <c r="Q38" s="98" t="s">
        <v>334</v>
      </c>
      <c r="R38" s="89" t="s">
        <v>334</v>
      </c>
      <c r="S38" s="98" t="s">
        <v>334</v>
      </c>
      <c r="T38" s="89" t="s">
        <v>334</v>
      </c>
      <c r="U38" s="98" t="s">
        <v>334</v>
      </c>
      <c r="V38" s="89" t="s">
        <v>334</v>
      </c>
      <c r="W38" s="98" t="s">
        <v>334</v>
      </c>
      <c r="X38" s="89" t="s">
        <v>334</v>
      </c>
      <c r="Y38" s="98" t="s">
        <v>334</v>
      </c>
      <c r="Z38" s="89" t="s">
        <v>334</v>
      </c>
    </row>
    <row r="39" spans="1:26" x14ac:dyDescent="0.2">
      <c r="A39" s="29"/>
      <c r="B39" s="86" t="str">
        <f>VLOOKUP("&lt;T2Zeilentitel_6.8&gt;",Uebersetzungen!$B$3:$E$194,Uebersetzungen!$B$2+1,FALSE)</f>
        <v>Ungelernte Angestellte und Arbeiter</v>
      </c>
      <c r="C39" s="75">
        <v>6821.9592610729978</v>
      </c>
      <c r="D39" s="56">
        <v>14.072757841029523</v>
      </c>
      <c r="E39" s="75">
        <v>6821.9592610729978</v>
      </c>
      <c r="F39" s="56">
        <v>14.072757841029523</v>
      </c>
      <c r="G39" s="75">
        <v>6821.9592610729978</v>
      </c>
      <c r="H39" s="56">
        <v>14.072757841029523</v>
      </c>
      <c r="I39" s="75">
        <v>4772.4571243595801</v>
      </c>
      <c r="J39" s="56">
        <v>17.259191689583638</v>
      </c>
      <c r="K39" s="19">
        <v>717.35666175924246</v>
      </c>
      <c r="L39" s="59">
        <v>42.349665495826038</v>
      </c>
      <c r="M39" s="19">
        <v>500.3627903263673</v>
      </c>
      <c r="N39" s="59">
        <v>50.086801884395001</v>
      </c>
      <c r="O39" s="19">
        <v>831.7826846278075</v>
      </c>
      <c r="P39" s="59">
        <v>38.920069283412197</v>
      </c>
      <c r="Q39" s="98" t="s">
        <v>334</v>
      </c>
      <c r="R39" s="89" t="s">
        <v>334</v>
      </c>
      <c r="S39" s="98" t="s">
        <v>334</v>
      </c>
      <c r="T39" s="89" t="s">
        <v>334</v>
      </c>
      <c r="U39" s="98" t="s">
        <v>334</v>
      </c>
      <c r="V39" s="89" t="s">
        <v>334</v>
      </c>
      <c r="W39" s="98" t="s">
        <v>334</v>
      </c>
      <c r="X39" s="89" t="s">
        <v>334</v>
      </c>
      <c r="Y39" s="98" t="s">
        <v>334</v>
      </c>
      <c r="Z39" s="89" t="s">
        <v>334</v>
      </c>
    </row>
    <row r="40" spans="1:26" ht="25.5" x14ac:dyDescent="0.2">
      <c r="A40" s="29"/>
      <c r="B40" s="86" t="str">
        <f>VLOOKUP("&lt;T2Zeilentitel_6.9&gt;",Uebersetzungen!$B$3:$E$194,Uebersetzungen!$B$2+1,FALSE)</f>
        <v>Lernende in dualer beruflicher Grundbildung (Lehrlinge)</v>
      </c>
      <c r="C40" s="75">
        <v>2736.1942365328946</v>
      </c>
      <c r="D40" s="56">
        <v>22.595748930549572</v>
      </c>
      <c r="E40" s="75">
        <v>2736.194236532895</v>
      </c>
      <c r="F40" s="56">
        <v>22.595748930549551</v>
      </c>
      <c r="G40" s="75">
        <v>2736.194236532895</v>
      </c>
      <c r="H40" s="56">
        <v>22.595748930549551</v>
      </c>
      <c r="I40" s="75">
        <v>2703.8831872513774</v>
      </c>
      <c r="J40" s="56">
        <v>22.752870929137124</v>
      </c>
      <c r="K40" s="83" t="s">
        <v>334</v>
      </c>
      <c r="L40" s="56" t="s">
        <v>334</v>
      </c>
      <c r="M40" s="18" t="s">
        <v>334</v>
      </c>
      <c r="N40" s="56" t="s">
        <v>334</v>
      </c>
      <c r="O40" s="18" t="s">
        <v>334</v>
      </c>
      <c r="P40" s="56" t="s">
        <v>334</v>
      </c>
      <c r="Q40" s="98" t="s">
        <v>334</v>
      </c>
      <c r="R40" s="89" t="s">
        <v>334</v>
      </c>
      <c r="S40" s="98" t="s">
        <v>334</v>
      </c>
      <c r="T40" s="89" t="s">
        <v>334</v>
      </c>
      <c r="U40" s="98" t="s">
        <v>334</v>
      </c>
      <c r="V40" s="89" t="s">
        <v>334</v>
      </c>
      <c r="W40" s="98" t="s">
        <v>334</v>
      </c>
      <c r="X40" s="89" t="s">
        <v>334</v>
      </c>
      <c r="Y40" s="98" t="s">
        <v>334</v>
      </c>
      <c r="Z40" s="89" t="s">
        <v>334</v>
      </c>
    </row>
    <row r="41" spans="1:26" ht="38.25" x14ac:dyDescent="0.2">
      <c r="A41" s="29"/>
      <c r="B41" s="86" t="str">
        <f>VLOOKUP("&lt;T2Zeilentitel_6.10&gt;",Uebersetzungen!$B$3:$E$194,Uebersetzungen!$B$2+1,FALSE)</f>
        <v>Nicht zuteilbare Erwerbstätige (fehlende oder unklare Basisdaten oder unplausible Kombination)</v>
      </c>
      <c r="C41" s="81">
        <v>1390.578668762628</v>
      </c>
      <c r="D41" s="59">
        <v>32.063765901593527</v>
      </c>
      <c r="E41" s="81">
        <v>1390.5786687626278</v>
      </c>
      <c r="F41" s="59">
        <v>32.063765901593513</v>
      </c>
      <c r="G41" s="81">
        <v>1390.5786687626278</v>
      </c>
      <c r="H41" s="59">
        <v>32.063765901593513</v>
      </c>
      <c r="I41" s="19">
        <v>763.94991679854252</v>
      </c>
      <c r="J41" s="59">
        <v>44.899312895549727</v>
      </c>
      <c r="K41" s="83" t="s">
        <v>334</v>
      </c>
      <c r="L41" s="56" t="s">
        <v>334</v>
      </c>
      <c r="M41" s="18" t="s">
        <v>334</v>
      </c>
      <c r="N41" s="56" t="s">
        <v>334</v>
      </c>
      <c r="O41" s="19">
        <v>549.13411305212639</v>
      </c>
      <c r="P41" s="59">
        <v>48.420503893971222</v>
      </c>
      <c r="Q41" s="98" t="s">
        <v>334</v>
      </c>
      <c r="R41" s="89" t="s">
        <v>334</v>
      </c>
      <c r="S41" s="98" t="s">
        <v>334</v>
      </c>
      <c r="T41" s="89" t="s">
        <v>334</v>
      </c>
      <c r="U41" s="98" t="s">
        <v>334</v>
      </c>
      <c r="V41" s="89" t="s">
        <v>334</v>
      </c>
      <c r="W41" s="98" t="s">
        <v>334</v>
      </c>
      <c r="X41" s="89" t="s">
        <v>334</v>
      </c>
      <c r="Y41" s="98" t="s">
        <v>334</v>
      </c>
      <c r="Z41" s="89" t="s">
        <v>334</v>
      </c>
    </row>
    <row r="42" spans="1:26" ht="25.5" x14ac:dyDescent="0.2">
      <c r="A42" s="29"/>
      <c r="B42" s="86" t="str">
        <f>VLOOKUP("&lt;T2Zeilentitel_6.11&gt;",Uebersetzungen!$B$3:$E$194,Uebersetzungen!$B$2+1,FALSE)</f>
        <v>Erwerbslose und Nichterwerbspersonen</v>
      </c>
      <c r="C42" s="93">
        <v>67650.862463051264</v>
      </c>
      <c r="D42" s="58">
        <v>3.458848311399974</v>
      </c>
      <c r="E42" s="93">
        <v>2294.1767169753762</v>
      </c>
      <c r="F42" s="58">
        <v>25.854640307180482</v>
      </c>
      <c r="G42" s="96" t="s">
        <v>334</v>
      </c>
      <c r="H42" s="91" t="s">
        <v>334</v>
      </c>
      <c r="I42" s="96" t="s">
        <v>334</v>
      </c>
      <c r="J42" s="91" t="s">
        <v>334</v>
      </c>
      <c r="K42" s="96" t="s">
        <v>334</v>
      </c>
      <c r="L42" s="91" t="s">
        <v>334</v>
      </c>
      <c r="M42" s="96" t="s">
        <v>334</v>
      </c>
      <c r="N42" s="91" t="s">
        <v>334</v>
      </c>
      <c r="O42" s="96" t="s">
        <v>334</v>
      </c>
      <c r="P42" s="91" t="s">
        <v>334</v>
      </c>
      <c r="Q42" s="93">
        <v>2294.1767169753762</v>
      </c>
      <c r="R42" s="58">
        <v>25.854640307180482</v>
      </c>
      <c r="S42" s="93">
        <v>8413.4186460655783</v>
      </c>
      <c r="T42" s="58">
        <v>12.780310240982766</v>
      </c>
      <c r="U42" s="93">
        <v>6289.1153404762581</v>
      </c>
      <c r="V42" s="58">
        <v>14.208656463002097</v>
      </c>
      <c r="W42" s="93">
        <v>46647.284586385322</v>
      </c>
      <c r="X42" s="58">
        <v>4.4485070680259335</v>
      </c>
      <c r="Y42" s="93">
        <v>4006.8671731487307</v>
      </c>
      <c r="Z42" s="58">
        <v>18.686421699934851</v>
      </c>
    </row>
    <row r="43" spans="1:26" x14ac:dyDescent="0.2">
      <c r="A43" s="54" t="str">
        <f>VLOOKUP("&lt;T2Zeilentitel_7&gt;",Uebersetzungen!$B$3:$E$194,Uebersetzungen!$B$2+1,FALSE)</f>
        <v>Höchste abgeschlossene Ausbildung</v>
      </c>
      <c r="B43" s="87" t="str">
        <f>VLOOKUP("&lt;T2Zeilentitel_7.1&gt;",Uebersetzungen!$B$3:$E$194,Uebersetzungen!$B$2+1,FALSE)</f>
        <v>Obligatorische Schule</v>
      </c>
      <c r="C43" s="75">
        <v>34830.74992481646</v>
      </c>
      <c r="D43" s="56">
        <v>5.6363231755720431</v>
      </c>
      <c r="E43" s="75">
        <v>15386.236171369392</v>
      </c>
      <c r="F43" s="56">
        <v>9.1751839876545631</v>
      </c>
      <c r="G43" s="75">
        <v>14940.423111251996</v>
      </c>
      <c r="H43" s="56">
        <v>9.3084152488574912</v>
      </c>
      <c r="I43" s="75">
        <v>11670.49898367228</v>
      </c>
      <c r="J43" s="56">
        <v>10.762275255285674</v>
      </c>
      <c r="K43" s="19">
        <v>994.39833289550461</v>
      </c>
      <c r="L43" s="59">
        <v>36.02305756304586</v>
      </c>
      <c r="M43" s="19">
        <v>970.05253369550508</v>
      </c>
      <c r="N43" s="59">
        <v>36.651383297840567</v>
      </c>
      <c r="O43" s="81">
        <v>1305.4732609887092</v>
      </c>
      <c r="P43" s="59">
        <v>31.039714052337899</v>
      </c>
      <c r="Q43" s="19">
        <v>445.81306011739423</v>
      </c>
      <c r="R43" s="59">
        <v>58.842662936181995</v>
      </c>
      <c r="S43" s="75">
        <v>4611.1213494975063</v>
      </c>
      <c r="T43" s="56">
        <v>17.138130613612081</v>
      </c>
      <c r="U43" s="81">
        <v>1139.2979620109481</v>
      </c>
      <c r="V43" s="59">
        <v>34.368192491363935</v>
      </c>
      <c r="W43" s="75">
        <v>12237.332492836053</v>
      </c>
      <c r="X43" s="56">
        <v>9.9369780967232995</v>
      </c>
      <c r="Y43" s="81">
        <v>1456.7619491025609</v>
      </c>
      <c r="Z43" s="59">
        <v>31.059073776808603</v>
      </c>
    </row>
    <row r="44" spans="1:26" x14ac:dyDescent="0.2">
      <c r="A44" s="29"/>
      <c r="B44" s="86" t="str">
        <f>VLOOKUP("&lt;T2Zeilentitel_7.2&gt;",Uebersetzungen!$B$3:$E$194,Uebersetzungen!$B$2+1,FALSE)</f>
        <v>Sekundarstufe II</v>
      </c>
      <c r="C44" s="75">
        <v>80390.820949427231</v>
      </c>
      <c r="D44" s="56">
        <v>3.0161514322530456</v>
      </c>
      <c r="E44" s="75">
        <v>48690.334356099273</v>
      </c>
      <c r="F44" s="56">
        <v>4.5047699806126893</v>
      </c>
      <c r="G44" s="75">
        <v>47629.911792936735</v>
      </c>
      <c r="H44" s="56">
        <v>4.560980325674346</v>
      </c>
      <c r="I44" s="75">
        <v>32250.501957860546</v>
      </c>
      <c r="J44" s="56">
        <v>5.9541635360477141</v>
      </c>
      <c r="K44" s="75">
        <v>4784.8687949142213</v>
      </c>
      <c r="L44" s="56">
        <v>16.197885836246623</v>
      </c>
      <c r="M44" s="75">
        <v>4669.7118412101163</v>
      </c>
      <c r="N44" s="56">
        <v>16.214244312294024</v>
      </c>
      <c r="O44" s="75">
        <v>5924.8291989517857</v>
      </c>
      <c r="P44" s="56">
        <v>14.296860550594761</v>
      </c>
      <c r="Q44" s="81">
        <v>1060.4225631625393</v>
      </c>
      <c r="R44" s="59">
        <v>38.566698061263821</v>
      </c>
      <c r="S44" s="75">
        <v>3143.068905276521</v>
      </c>
      <c r="T44" s="56">
        <v>21.699193978442153</v>
      </c>
      <c r="U44" s="75">
        <v>3778.5926242808478</v>
      </c>
      <c r="V44" s="56">
        <v>18.363015031967194</v>
      </c>
      <c r="W44" s="75">
        <v>23171.097758996042</v>
      </c>
      <c r="X44" s="56">
        <v>6.8694825431044482</v>
      </c>
      <c r="Y44" s="81">
        <v>1607.7273047746023</v>
      </c>
      <c r="Z44" s="59">
        <v>29.716637146318668</v>
      </c>
    </row>
    <row r="45" spans="1:26" x14ac:dyDescent="0.2">
      <c r="A45" s="31"/>
      <c r="B45" s="88" t="str">
        <f>VLOOKUP("&lt;T2Zeilentitel_7.3&gt;",Uebersetzungen!$B$3:$E$194,Uebersetzungen!$B$2+1,FALSE)</f>
        <v>Tertiärstufe</v>
      </c>
      <c r="C45" s="93">
        <v>59389.429125753362</v>
      </c>
      <c r="D45" s="58">
        <v>3.7837661322369645</v>
      </c>
      <c r="E45" s="93">
        <v>45177.743726452682</v>
      </c>
      <c r="F45" s="58">
        <v>4.6110163600604697</v>
      </c>
      <c r="G45" s="93">
        <v>44389.802632757237</v>
      </c>
      <c r="H45" s="58">
        <v>4.6570983910894261</v>
      </c>
      <c r="I45" s="93">
        <v>29811.3046707875</v>
      </c>
      <c r="J45" s="58">
        <v>6.066496311243518</v>
      </c>
      <c r="K45" s="93">
        <v>5337.6509418335481</v>
      </c>
      <c r="L45" s="58">
        <v>15.020875072400329</v>
      </c>
      <c r="M45" s="93">
        <v>4036.0155778122785</v>
      </c>
      <c r="N45" s="58">
        <v>17.166716608195518</v>
      </c>
      <c r="O45" s="93">
        <v>5204.8314423238398</v>
      </c>
      <c r="P45" s="58">
        <v>15.319484457200559</v>
      </c>
      <c r="Q45" s="95">
        <v>787.94109369544253</v>
      </c>
      <c r="R45" s="90">
        <v>43.640266905235443</v>
      </c>
      <c r="S45" s="95">
        <v>659.22839129155636</v>
      </c>
      <c r="T45" s="90">
        <v>46.966830016261575</v>
      </c>
      <c r="U45" s="94">
        <v>1371.2247541844636</v>
      </c>
      <c r="V45" s="90">
        <v>30.965527219985468</v>
      </c>
      <c r="W45" s="93">
        <v>11238.854334553156</v>
      </c>
      <c r="X45" s="58">
        <v>10.198175181157424</v>
      </c>
      <c r="Y45" s="95">
        <v>942.37791927156945</v>
      </c>
      <c r="Z45" s="90">
        <v>39.056027906328303</v>
      </c>
    </row>
    <row r="46" spans="1:26" x14ac:dyDescent="0.2">
      <c r="A46" s="15"/>
    </row>
    <row r="47" spans="1:26" x14ac:dyDescent="0.2">
      <c r="A47" s="1" t="str">
        <f>VLOOKUP("&lt;Legende_1&gt;",Uebersetzungen!$B$3:$E$199,Uebersetzungen!$B$2+1,FALSE)</f>
        <v>(): Extrapolation aufgrund von 49 oder weniger Beobachtungen. Die Resultate sind mit grosser Vorsicht zu interpretieren.</v>
      </c>
    </row>
    <row r="48" spans="1:26" x14ac:dyDescent="0.2">
      <c r="A48" s="1" t="str">
        <f>VLOOKUP("&lt;Legende_2&gt;",Uebersetzungen!$B$3:$E$199,Uebersetzungen!$B$2+1,FALSE)</f>
        <v>X: Extrapolation aufgrund von 4 oder weniger Beobachtungen. Die Resultate werden aus Gründen des Datenschutzes nicht publiziert.</v>
      </c>
    </row>
    <row r="49" spans="1:1" x14ac:dyDescent="0.2">
      <c r="A49" s="1" t="str">
        <f>VLOOKUP("&lt;Legende_3&gt;",Uebersetzungen!$B$3:$E$199,Uebersetzungen!$B$2+1,FALSE)</f>
        <v>Die Grundgesamtheit der Strukturerhebung enthält alle Personen der ständigen Wohnbevölkerung ab vollendetem 15. Altersjahr, die in Privathaushalten leben.</v>
      </c>
    </row>
    <row r="50" spans="1:1" x14ac:dyDescent="0.2">
      <c r="A50" s="1" t="str">
        <f>VLOOKUP("&lt;Legende_4&gt;",Uebersetzungen!$B$3:$E$199,Uebersetzungen!$B$2+1,FALSE)</f>
        <v>Aus der Grundgesamtheit ausgeschlossen wurden neben den Personen, die in Kollektivhaushalten leben, auch Diplomaten, internationale Funktionäre und deren Angehörige.</v>
      </c>
    </row>
    <row r="52" spans="1:1" x14ac:dyDescent="0.2">
      <c r="A52" s="1" t="str">
        <f>VLOOKUP("&lt;quelle_1&gt;",Uebersetzungen!$B$3:$E$199,Uebersetzungen!$B$2+1,FALSE)</f>
        <v>Quelle: BFS (Strukturerhebung)</v>
      </c>
    </row>
    <row r="53" spans="1:1" x14ac:dyDescent="0.2">
      <c r="A53" s="1" t="str">
        <f>VLOOKUP("&lt;aktualisierung&gt;",Uebersetzungen!$B$3:$E$199,Uebersetzungen!$B$2+1,FALSE)</f>
        <v>Letztmals aktualisiert am: 27.01.2024</v>
      </c>
    </row>
  </sheetData>
  <sheetProtection sheet="1" objects="1" scenarios="1"/>
  <mergeCells count="13">
    <mergeCell ref="S13:T13"/>
    <mergeCell ref="U13:V13"/>
    <mergeCell ref="W13:X13"/>
    <mergeCell ref="Y13:Z13"/>
    <mergeCell ref="C12:Z12"/>
    <mergeCell ref="C13:D13"/>
    <mergeCell ref="E13:F13"/>
    <mergeCell ref="G13:H13"/>
    <mergeCell ref="I13:J13"/>
    <mergeCell ref="K13:L13"/>
    <mergeCell ref="M13:N13"/>
    <mergeCell ref="O13:P13"/>
    <mergeCell ref="Q13:R13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4" name="Option Button 4">
              <controlPr defaultSize="0" autoFill="0" autoLine="0" autoPict="0">
                <anchor moveWithCells="1">
                  <from>
                    <xdr:col>3</xdr:col>
                    <xdr:colOff>542925</xdr:colOff>
                    <xdr:row>1</xdr:row>
                    <xdr:rowOff>123825</xdr:rowOff>
                  </from>
                  <to>
                    <xdr:col>5</xdr:col>
                    <xdr:colOff>19050</xdr:colOff>
                    <xdr:row>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5" name="Option Button 5">
              <controlPr defaultSize="0" autoFill="0" autoLine="0" autoPict="0">
                <anchor moveWithCells="1">
                  <from>
                    <xdr:col>3</xdr:col>
                    <xdr:colOff>542925</xdr:colOff>
                    <xdr:row>2</xdr:row>
                    <xdr:rowOff>104775</xdr:rowOff>
                  </from>
                  <to>
                    <xdr:col>5</xdr:col>
                    <xdr:colOff>409575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6" name="Option Button 6">
              <controlPr defaultSize="0" autoFill="0" autoLine="0" autoPict="0">
                <anchor moveWithCells="1">
                  <from>
                    <xdr:col>3</xdr:col>
                    <xdr:colOff>542925</xdr:colOff>
                    <xdr:row>3</xdr:row>
                    <xdr:rowOff>76200</xdr:rowOff>
                  </from>
                  <to>
                    <xdr:col>5</xdr:col>
                    <xdr:colOff>19050</xdr:colOff>
                    <xdr:row>4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workbookViewId="0">
      <selection activeCell="C26" sqref="C26"/>
    </sheetView>
  </sheetViews>
  <sheetFormatPr baseColWidth="10" defaultColWidth="12.5703125" defaultRowHeight="12.75" x14ac:dyDescent="0.2"/>
  <cols>
    <col min="1" max="1" width="9.85546875" style="35" customWidth="1"/>
    <col min="2" max="2" width="30" style="35" customWidth="1"/>
    <col min="3" max="3" width="78.5703125" style="39" customWidth="1"/>
    <col min="4" max="5" width="53.42578125" style="39" customWidth="1"/>
    <col min="6" max="6" width="22.42578125" style="35" customWidth="1"/>
    <col min="7" max="8" width="12.5703125" style="35"/>
    <col min="9" max="9" width="37.7109375" style="35" customWidth="1"/>
    <col min="10" max="16384" width="12.5703125" style="35"/>
  </cols>
  <sheetData>
    <row r="1" spans="1:6" x14ac:dyDescent="0.2">
      <c r="A1" s="32" t="s">
        <v>2</v>
      </c>
      <c r="B1" s="32" t="s">
        <v>3</v>
      </c>
      <c r="C1" s="33" t="s">
        <v>4</v>
      </c>
      <c r="D1" s="33" t="s">
        <v>5</v>
      </c>
      <c r="E1" s="33" t="s">
        <v>6</v>
      </c>
      <c r="F1" s="34"/>
    </row>
    <row r="2" spans="1:6" ht="12.75" customHeight="1" x14ac:dyDescent="0.2">
      <c r="A2" s="36" t="s">
        <v>7</v>
      </c>
      <c r="B2" s="37">
        <v>1</v>
      </c>
      <c r="C2" s="38"/>
      <c r="D2" s="38"/>
      <c r="E2" s="38"/>
      <c r="F2" s="34"/>
    </row>
    <row r="3" spans="1:6" ht="12.75" customHeight="1" x14ac:dyDescent="0.2">
      <c r="A3" s="36"/>
      <c r="B3" s="35" t="s">
        <v>8</v>
      </c>
      <c r="C3" s="39" t="s">
        <v>9</v>
      </c>
      <c r="D3" s="39" t="s">
        <v>10</v>
      </c>
      <c r="E3" s="39" t="s">
        <v>11</v>
      </c>
      <c r="F3" s="34"/>
    </row>
    <row r="4" spans="1:6" ht="12.75" customHeight="1" x14ac:dyDescent="0.2">
      <c r="A4" s="36" t="s">
        <v>12</v>
      </c>
      <c r="B4" s="35" t="s">
        <v>13</v>
      </c>
      <c r="C4" s="39" t="s">
        <v>181</v>
      </c>
      <c r="D4" s="39" t="s">
        <v>212</v>
      </c>
      <c r="E4" s="39" t="s">
        <v>343</v>
      </c>
      <c r="F4" s="34"/>
    </row>
    <row r="5" spans="1:6" ht="12.75" customHeight="1" x14ac:dyDescent="0.2">
      <c r="A5" s="36"/>
      <c r="B5" s="35" t="s">
        <v>14</v>
      </c>
      <c r="C5" s="39" t="s">
        <v>15</v>
      </c>
      <c r="D5" s="39" t="s">
        <v>16</v>
      </c>
      <c r="E5" s="39" t="s">
        <v>17</v>
      </c>
      <c r="F5" s="34"/>
    </row>
    <row r="6" spans="1:6" ht="12.75" customHeight="1" x14ac:dyDescent="0.2">
      <c r="A6" s="36" t="s">
        <v>18</v>
      </c>
      <c r="B6" s="35" t="s">
        <v>19</v>
      </c>
      <c r="C6" s="39" t="s">
        <v>20</v>
      </c>
      <c r="D6" s="39" t="s">
        <v>20</v>
      </c>
      <c r="E6" s="39" t="s">
        <v>21</v>
      </c>
      <c r="F6" s="34"/>
    </row>
    <row r="7" spans="1:6" ht="12.75" customHeight="1" x14ac:dyDescent="0.2">
      <c r="A7" s="36"/>
      <c r="B7" s="35" t="s">
        <v>22</v>
      </c>
      <c r="C7" s="39" t="s">
        <v>23</v>
      </c>
      <c r="D7" s="39" t="s">
        <v>24</v>
      </c>
      <c r="E7" s="39" t="s">
        <v>323</v>
      </c>
      <c r="F7" s="34"/>
    </row>
    <row r="8" spans="1:6" ht="12.75" customHeight="1" x14ac:dyDescent="0.2">
      <c r="A8" s="36"/>
      <c r="B8" s="35" t="s">
        <v>25</v>
      </c>
      <c r="C8" s="39" t="s">
        <v>26</v>
      </c>
      <c r="D8" s="39" t="s">
        <v>27</v>
      </c>
      <c r="E8" s="39" t="s">
        <v>324</v>
      </c>
      <c r="F8" s="34"/>
    </row>
    <row r="9" spans="1:6" ht="12.75" customHeight="1" x14ac:dyDescent="0.2">
      <c r="A9" s="36"/>
      <c r="B9" s="35" t="s">
        <v>28</v>
      </c>
      <c r="C9" s="39" t="s">
        <v>29</v>
      </c>
      <c r="D9" s="39" t="s">
        <v>30</v>
      </c>
      <c r="E9" s="39" t="s">
        <v>325</v>
      </c>
      <c r="F9" s="34"/>
    </row>
    <row r="10" spans="1:6" ht="12.75" customHeight="1" x14ac:dyDescent="0.2">
      <c r="A10" s="36"/>
      <c r="B10" s="35" t="s">
        <v>31</v>
      </c>
      <c r="C10" s="39" t="s">
        <v>32</v>
      </c>
      <c r="D10" s="39" t="s">
        <v>33</v>
      </c>
      <c r="E10" s="39" t="s">
        <v>326</v>
      </c>
      <c r="F10" s="34"/>
    </row>
    <row r="11" spans="1:6" ht="12.75" customHeight="1" x14ac:dyDescent="0.2">
      <c r="A11" s="36"/>
      <c r="B11" s="35" t="s">
        <v>34</v>
      </c>
      <c r="C11" s="39" t="s">
        <v>35</v>
      </c>
      <c r="D11" s="39" t="s">
        <v>36</v>
      </c>
      <c r="E11" s="39" t="s">
        <v>327</v>
      </c>
      <c r="F11" s="34"/>
    </row>
    <row r="12" spans="1:6" ht="12.75" customHeight="1" x14ac:dyDescent="0.2">
      <c r="A12" s="36"/>
      <c r="B12" s="35" t="s">
        <v>37</v>
      </c>
      <c r="C12" s="39" t="s">
        <v>38</v>
      </c>
      <c r="D12" s="39" t="s">
        <v>39</v>
      </c>
      <c r="E12" s="39" t="s">
        <v>328</v>
      </c>
      <c r="F12" s="34"/>
    </row>
    <row r="13" spans="1:6" ht="12.75" customHeight="1" x14ac:dyDescent="0.2">
      <c r="A13" s="36"/>
      <c r="B13" s="35" t="s">
        <v>40</v>
      </c>
      <c r="C13" s="39" t="s">
        <v>41</v>
      </c>
      <c r="D13" s="39" t="s">
        <v>42</v>
      </c>
      <c r="E13" s="39" t="s">
        <v>329</v>
      </c>
      <c r="F13" s="34"/>
    </row>
    <row r="14" spans="1:6" ht="12.75" customHeight="1" x14ac:dyDescent="0.2">
      <c r="A14" s="36"/>
      <c r="B14" s="35" t="s">
        <v>43</v>
      </c>
      <c r="C14" s="39" t="s">
        <v>44</v>
      </c>
      <c r="D14" s="39" t="s">
        <v>45</v>
      </c>
      <c r="E14" s="39" t="s">
        <v>330</v>
      </c>
      <c r="F14" s="34"/>
    </row>
    <row r="15" spans="1:6" ht="12.75" customHeight="1" x14ac:dyDescent="0.2">
      <c r="A15" s="36"/>
      <c r="B15" s="35" t="s">
        <v>46</v>
      </c>
      <c r="C15" s="39" t="s">
        <v>47</v>
      </c>
      <c r="D15" s="39" t="s">
        <v>48</v>
      </c>
      <c r="E15" s="39" t="s">
        <v>331</v>
      </c>
      <c r="F15" s="34"/>
    </row>
    <row r="16" spans="1:6" ht="12.75" customHeight="1" x14ac:dyDescent="0.2">
      <c r="A16" s="36"/>
      <c r="B16" s="35" t="s">
        <v>49</v>
      </c>
      <c r="C16" s="39" t="s">
        <v>50</v>
      </c>
      <c r="D16" s="39" t="s">
        <v>51</v>
      </c>
      <c r="E16" s="39" t="s">
        <v>332</v>
      </c>
      <c r="F16" s="34"/>
    </row>
    <row r="17" spans="1:6" ht="12.75" customHeight="1" x14ac:dyDescent="0.2">
      <c r="A17" s="36"/>
      <c r="B17" s="35" t="s">
        <v>52</v>
      </c>
      <c r="C17" s="39" t="s">
        <v>53</v>
      </c>
      <c r="D17" s="39" t="s">
        <v>54</v>
      </c>
      <c r="E17" s="39" t="s">
        <v>333</v>
      </c>
      <c r="F17" s="34"/>
    </row>
    <row r="18" spans="1:6" ht="12.75" customHeight="1" x14ac:dyDescent="0.2">
      <c r="A18" s="36"/>
      <c r="B18" s="35" t="s">
        <v>55</v>
      </c>
      <c r="C18" s="39" t="s">
        <v>0</v>
      </c>
      <c r="D18" s="39" t="s">
        <v>56</v>
      </c>
      <c r="E18" s="39" t="s">
        <v>57</v>
      </c>
      <c r="F18" s="34"/>
    </row>
    <row r="19" spans="1:6" ht="12.75" customHeight="1" x14ac:dyDescent="0.2">
      <c r="A19" s="36"/>
      <c r="B19" s="35" t="s">
        <v>58</v>
      </c>
      <c r="C19" s="39" t="s">
        <v>59</v>
      </c>
      <c r="D19" s="39" t="s">
        <v>60</v>
      </c>
      <c r="E19" s="39" t="s">
        <v>61</v>
      </c>
      <c r="F19" s="34"/>
    </row>
    <row r="20" spans="1:6" ht="12.75" customHeight="1" x14ac:dyDescent="0.2">
      <c r="A20" s="36"/>
      <c r="B20" s="34"/>
      <c r="C20" s="40"/>
      <c r="D20" s="40"/>
      <c r="E20" s="40"/>
      <c r="F20" s="34"/>
    </row>
    <row r="21" spans="1:6" ht="12.75" customHeight="1" x14ac:dyDescent="0.2">
      <c r="A21" s="36" t="s">
        <v>12</v>
      </c>
      <c r="B21" s="35" t="s">
        <v>62</v>
      </c>
      <c r="C21" s="39" t="s">
        <v>20</v>
      </c>
      <c r="D21" s="39" t="s">
        <v>20</v>
      </c>
      <c r="E21" s="39" t="s">
        <v>21</v>
      </c>
      <c r="F21" s="34"/>
    </row>
    <row r="22" spans="1:6" ht="12.75" customHeight="1" x14ac:dyDescent="0.2">
      <c r="A22" s="34"/>
      <c r="B22" s="35" t="s">
        <v>63</v>
      </c>
      <c r="C22" s="39" t="s">
        <v>64</v>
      </c>
      <c r="D22" s="39" t="s">
        <v>65</v>
      </c>
      <c r="E22" s="39" t="s">
        <v>66</v>
      </c>
      <c r="F22" s="34"/>
    </row>
    <row r="23" spans="1:6" ht="12.75" customHeight="1" x14ac:dyDescent="0.2">
      <c r="A23" s="34"/>
      <c r="F23" s="34"/>
    </row>
    <row r="24" spans="1:6" ht="12.75" customHeight="1" x14ac:dyDescent="0.2">
      <c r="A24" s="34"/>
      <c r="B24" s="35" t="s">
        <v>67</v>
      </c>
      <c r="C24" s="41" t="s">
        <v>68</v>
      </c>
      <c r="D24" s="42" t="s">
        <v>69</v>
      </c>
      <c r="E24" s="42" t="s">
        <v>70</v>
      </c>
      <c r="F24" s="34"/>
    </row>
    <row r="25" spans="1:6" ht="12.75" customHeight="1" x14ac:dyDescent="0.2">
      <c r="A25" s="34"/>
      <c r="B25" s="35" t="s">
        <v>71</v>
      </c>
      <c r="C25" s="41" t="s">
        <v>72</v>
      </c>
      <c r="D25" s="42" t="s">
        <v>73</v>
      </c>
      <c r="E25" s="42" t="s">
        <v>73</v>
      </c>
      <c r="F25" s="34"/>
    </row>
    <row r="26" spans="1:6" x14ac:dyDescent="0.2">
      <c r="A26" s="34"/>
      <c r="B26" s="35" t="s">
        <v>74</v>
      </c>
      <c r="C26" s="41" t="s">
        <v>75</v>
      </c>
      <c r="D26" s="42" t="s">
        <v>76</v>
      </c>
      <c r="E26" s="42" t="s">
        <v>76</v>
      </c>
      <c r="F26" s="34"/>
    </row>
    <row r="27" spans="1:6" x14ac:dyDescent="0.2">
      <c r="A27" s="34"/>
      <c r="B27" s="35" t="s">
        <v>77</v>
      </c>
      <c r="C27" s="41" t="s">
        <v>78</v>
      </c>
      <c r="D27" s="42" t="s">
        <v>78</v>
      </c>
      <c r="E27" s="42" t="s">
        <v>78</v>
      </c>
      <c r="F27" s="34"/>
    </row>
    <row r="28" spans="1:6" x14ac:dyDescent="0.2">
      <c r="A28" s="34"/>
      <c r="B28" s="35" t="s">
        <v>79</v>
      </c>
      <c r="C28" s="41" t="s">
        <v>80</v>
      </c>
      <c r="D28" s="42" t="s">
        <v>81</v>
      </c>
      <c r="E28" s="42" t="s">
        <v>82</v>
      </c>
      <c r="F28" s="34"/>
    </row>
    <row r="29" spans="1:6" x14ac:dyDescent="0.2">
      <c r="A29" s="34"/>
      <c r="B29" s="35" t="s">
        <v>83</v>
      </c>
      <c r="C29" s="41" t="s">
        <v>84</v>
      </c>
      <c r="D29" s="42" t="s">
        <v>85</v>
      </c>
      <c r="E29" s="42" t="s">
        <v>86</v>
      </c>
      <c r="F29" s="34"/>
    </row>
    <row r="30" spans="1:6" x14ac:dyDescent="0.2">
      <c r="A30" s="34"/>
      <c r="B30" s="35" t="s">
        <v>87</v>
      </c>
      <c r="C30" s="41" t="s">
        <v>88</v>
      </c>
      <c r="D30" s="42" t="s">
        <v>89</v>
      </c>
      <c r="E30" s="42" t="s">
        <v>90</v>
      </c>
      <c r="F30" s="34"/>
    </row>
    <row r="31" spans="1:6" x14ac:dyDescent="0.2">
      <c r="A31" s="34"/>
      <c r="B31" s="35" t="s">
        <v>91</v>
      </c>
      <c r="C31" s="41" t="s">
        <v>92</v>
      </c>
      <c r="D31" s="42" t="s">
        <v>93</v>
      </c>
      <c r="E31" s="42" t="s">
        <v>94</v>
      </c>
      <c r="F31" s="34"/>
    </row>
    <row r="32" spans="1:6" x14ac:dyDescent="0.2">
      <c r="A32" s="34"/>
      <c r="B32" s="35" t="s">
        <v>95</v>
      </c>
      <c r="C32" s="41" t="s">
        <v>96</v>
      </c>
      <c r="D32" s="42" t="s">
        <v>96</v>
      </c>
      <c r="E32" s="42" t="s">
        <v>97</v>
      </c>
      <c r="F32" s="34"/>
    </row>
    <row r="33" spans="1:6" x14ac:dyDescent="0.2">
      <c r="A33" s="34"/>
      <c r="B33" s="35" t="s">
        <v>98</v>
      </c>
      <c r="C33" s="41" t="s">
        <v>99</v>
      </c>
      <c r="D33" s="42" t="s">
        <v>100</v>
      </c>
      <c r="E33" s="42" t="s">
        <v>101</v>
      </c>
      <c r="F33" s="34"/>
    </row>
    <row r="34" spans="1:6" x14ac:dyDescent="0.2">
      <c r="A34" s="34"/>
      <c r="B34" s="35" t="s">
        <v>102</v>
      </c>
      <c r="C34" s="41" t="s">
        <v>103</v>
      </c>
      <c r="D34" s="42" t="s">
        <v>104</v>
      </c>
      <c r="E34" s="42" t="s">
        <v>105</v>
      </c>
      <c r="F34" s="34"/>
    </row>
    <row r="35" spans="1:6" x14ac:dyDescent="0.2">
      <c r="A35" s="34"/>
      <c r="B35" s="35" t="s">
        <v>106</v>
      </c>
      <c r="C35" s="41" t="s">
        <v>107</v>
      </c>
      <c r="D35" s="42" t="s">
        <v>108</v>
      </c>
      <c r="E35" s="42" t="s">
        <v>109</v>
      </c>
      <c r="F35" s="34"/>
    </row>
    <row r="36" spans="1:6" x14ac:dyDescent="0.2">
      <c r="A36" s="34"/>
      <c r="B36" s="35" t="s">
        <v>110</v>
      </c>
      <c r="C36" s="41" t="s">
        <v>111</v>
      </c>
      <c r="D36" s="42" t="s">
        <v>112</v>
      </c>
      <c r="E36" s="42" t="s">
        <v>113</v>
      </c>
      <c r="F36" s="34"/>
    </row>
    <row r="37" spans="1:6" x14ac:dyDescent="0.2">
      <c r="A37" s="34"/>
      <c r="B37" s="35" t="s">
        <v>114</v>
      </c>
      <c r="C37" s="41" t="s">
        <v>115</v>
      </c>
      <c r="D37" s="42" t="s">
        <v>116</v>
      </c>
      <c r="E37" s="42" t="s">
        <v>117</v>
      </c>
      <c r="F37" s="34"/>
    </row>
    <row r="38" spans="1:6" x14ac:dyDescent="0.2">
      <c r="A38" s="34"/>
      <c r="B38" s="35" t="s">
        <v>118</v>
      </c>
      <c r="C38" s="41" t="s">
        <v>119</v>
      </c>
      <c r="D38" s="42" t="s">
        <v>120</v>
      </c>
      <c r="E38" s="42" t="s">
        <v>121</v>
      </c>
      <c r="F38" s="34"/>
    </row>
    <row r="39" spans="1:6" x14ac:dyDescent="0.2">
      <c r="A39" s="34"/>
      <c r="B39" s="35" t="s">
        <v>122</v>
      </c>
      <c r="C39" s="41" t="s">
        <v>123</v>
      </c>
      <c r="D39" s="42" t="s">
        <v>124</v>
      </c>
      <c r="E39" s="42" t="s">
        <v>125</v>
      </c>
      <c r="F39" s="34"/>
    </row>
    <row r="40" spans="1:6" x14ac:dyDescent="0.2">
      <c r="A40" s="34"/>
      <c r="B40" s="35" t="s">
        <v>126</v>
      </c>
      <c r="C40" s="41" t="s">
        <v>127</v>
      </c>
      <c r="D40" s="42" t="s">
        <v>128</v>
      </c>
      <c r="E40" s="42" t="s">
        <v>129</v>
      </c>
      <c r="F40" s="34"/>
    </row>
    <row r="41" spans="1:6" x14ac:dyDescent="0.2">
      <c r="A41" s="34"/>
      <c r="B41" s="35" t="s">
        <v>130</v>
      </c>
      <c r="C41" s="41" t="s">
        <v>131</v>
      </c>
      <c r="D41" s="42" t="s">
        <v>132</v>
      </c>
      <c r="E41" s="42" t="s">
        <v>133</v>
      </c>
      <c r="F41" s="34"/>
    </row>
    <row r="42" spans="1:6" x14ac:dyDescent="0.2">
      <c r="A42" s="34"/>
      <c r="B42" s="35" t="s">
        <v>134</v>
      </c>
      <c r="C42" s="41" t="s">
        <v>135</v>
      </c>
      <c r="D42" s="42" t="s">
        <v>136</v>
      </c>
      <c r="E42" s="42" t="s">
        <v>136</v>
      </c>
      <c r="F42" s="34"/>
    </row>
    <row r="43" spans="1:6" x14ac:dyDescent="0.2">
      <c r="A43" s="34"/>
      <c r="B43" s="35" t="s">
        <v>137</v>
      </c>
      <c r="C43" s="41" t="s">
        <v>138</v>
      </c>
      <c r="D43" s="42" t="s">
        <v>139</v>
      </c>
      <c r="E43" s="42" t="s">
        <v>139</v>
      </c>
      <c r="F43" s="34"/>
    </row>
    <row r="44" spans="1:6" x14ac:dyDescent="0.2">
      <c r="A44" s="34"/>
      <c r="B44" s="35" t="s">
        <v>140</v>
      </c>
      <c r="C44" s="41" t="s">
        <v>141</v>
      </c>
      <c r="D44" s="42" t="s">
        <v>142</v>
      </c>
      <c r="E44" s="42" t="s">
        <v>141</v>
      </c>
      <c r="F44" s="34"/>
    </row>
    <row r="45" spans="1:6" x14ac:dyDescent="0.2">
      <c r="A45" s="34"/>
      <c r="B45" s="35" t="s">
        <v>143</v>
      </c>
      <c r="C45" s="41" t="s">
        <v>144</v>
      </c>
      <c r="D45" s="42" t="s">
        <v>145</v>
      </c>
      <c r="E45" s="42" t="s">
        <v>144</v>
      </c>
      <c r="F45" s="34"/>
    </row>
    <row r="46" spans="1:6" x14ac:dyDescent="0.2">
      <c r="A46" s="34"/>
      <c r="B46" s="35" t="s">
        <v>146</v>
      </c>
      <c r="C46" s="41" t="s">
        <v>147</v>
      </c>
      <c r="D46" s="42" t="s">
        <v>148</v>
      </c>
      <c r="E46" s="42" t="s">
        <v>149</v>
      </c>
      <c r="F46" s="34"/>
    </row>
    <row r="47" spans="1:6" x14ac:dyDescent="0.2">
      <c r="A47" s="34"/>
      <c r="B47" s="35" t="s">
        <v>150</v>
      </c>
      <c r="C47" s="41" t="s">
        <v>151</v>
      </c>
      <c r="D47" s="42" t="s">
        <v>151</v>
      </c>
      <c r="E47" s="42" t="s">
        <v>151</v>
      </c>
      <c r="F47" s="34"/>
    </row>
    <row r="48" spans="1:6" x14ac:dyDescent="0.2">
      <c r="A48" s="34"/>
      <c r="B48" s="35" t="s">
        <v>152</v>
      </c>
      <c r="C48" s="41" t="s">
        <v>153</v>
      </c>
      <c r="D48" s="42" t="s">
        <v>154</v>
      </c>
      <c r="E48" s="42" t="s">
        <v>155</v>
      </c>
      <c r="F48" s="34"/>
    </row>
    <row r="49" spans="1:6" x14ac:dyDescent="0.2">
      <c r="A49" s="34"/>
      <c r="B49" s="35" t="s">
        <v>156</v>
      </c>
      <c r="C49" s="41" t="s">
        <v>157</v>
      </c>
      <c r="D49" s="42" t="s">
        <v>158</v>
      </c>
      <c r="E49" s="42" t="s">
        <v>158</v>
      </c>
      <c r="F49" s="34"/>
    </row>
    <row r="50" spans="1:6" x14ac:dyDescent="0.2">
      <c r="A50" s="34"/>
      <c r="B50" s="34"/>
      <c r="C50" s="40"/>
      <c r="D50" s="40"/>
      <c r="E50" s="40"/>
      <c r="F50" s="34"/>
    </row>
    <row r="51" spans="1:6" ht="25.5" x14ac:dyDescent="0.2">
      <c r="A51" s="36"/>
      <c r="B51" s="35" t="s">
        <v>159</v>
      </c>
      <c r="C51" s="39" t="s">
        <v>160</v>
      </c>
      <c r="D51" s="39" t="s">
        <v>161</v>
      </c>
      <c r="E51" s="39" t="s">
        <v>162</v>
      </c>
      <c r="F51" s="40"/>
    </row>
    <row r="52" spans="1:6" ht="38.25" x14ac:dyDescent="0.2">
      <c r="A52" s="34"/>
      <c r="B52" s="35" t="s">
        <v>163</v>
      </c>
      <c r="C52" s="39" t="s">
        <v>164</v>
      </c>
      <c r="D52" s="39" t="s">
        <v>165</v>
      </c>
      <c r="E52" s="39" t="s">
        <v>166</v>
      </c>
      <c r="F52" s="40"/>
    </row>
    <row r="53" spans="1:6" ht="51" x14ac:dyDescent="0.2">
      <c r="A53" s="34"/>
      <c r="B53" s="35" t="s">
        <v>167</v>
      </c>
      <c r="C53" s="39" t="s">
        <v>168</v>
      </c>
      <c r="D53" s="39" t="s">
        <v>169</v>
      </c>
      <c r="E53" s="39" t="s">
        <v>170</v>
      </c>
      <c r="F53" s="40"/>
    </row>
    <row r="54" spans="1:6" ht="38.25" x14ac:dyDescent="0.2">
      <c r="A54" s="34"/>
      <c r="B54" s="35" t="s">
        <v>171</v>
      </c>
      <c r="C54" s="39" t="s">
        <v>172</v>
      </c>
      <c r="D54" s="39" t="s">
        <v>173</v>
      </c>
      <c r="E54" s="39" t="s">
        <v>174</v>
      </c>
      <c r="F54" s="40"/>
    </row>
    <row r="55" spans="1:6" x14ac:dyDescent="0.2">
      <c r="A55" s="34"/>
      <c r="B55" s="35" t="s">
        <v>175</v>
      </c>
      <c r="F55" s="40"/>
    </row>
    <row r="56" spans="1:6" x14ac:dyDescent="0.2">
      <c r="A56" s="34" t="s">
        <v>18</v>
      </c>
      <c r="B56" s="35" t="s">
        <v>176</v>
      </c>
      <c r="C56" s="39" t="s">
        <v>177</v>
      </c>
      <c r="D56" s="39" t="s">
        <v>178</v>
      </c>
      <c r="E56" s="39" t="s">
        <v>179</v>
      </c>
      <c r="F56" s="34"/>
    </row>
    <row r="57" spans="1:6" x14ac:dyDescent="0.2">
      <c r="A57" s="34" t="s">
        <v>12</v>
      </c>
      <c r="B57" s="43" t="s">
        <v>180</v>
      </c>
      <c r="C57" s="44" t="s">
        <v>335</v>
      </c>
      <c r="D57" s="44" t="s">
        <v>336</v>
      </c>
      <c r="E57" s="44" t="s">
        <v>337</v>
      </c>
      <c r="F57" s="34"/>
    </row>
    <row r="58" spans="1:6" x14ac:dyDescent="0.2">
      <c r="A58" s="34"/>
      <c r="B58" s="34"/>
      <c r="C58" s="40"/>
      <c r="D58" s="40"/>
      <c r="E58" s="40"/>
      <c r="F58" s="34"/>
    </row>
    <row r="59" spans="1:6" x14ac:dyDescent="0.2">
      <c r="A59" s="34" t="s">
        <v>213</v>
      </c>
      <c r="B59" s="35" t="s">
        <v>321</v>
      </c>
      <c r="C59" s="39" t="s">
        <v>340</v>
      </c>
      <c r="D59" s="39" t="s">
        <v>341</v>
      </c>
      <c r="E59" s="39" t="s">
        <v>342</v>
      </c>
      <c r="F59" s="34"/>
    </row>
    <row r="60" spans="1:6" x14ac:dyDescent="0.2">
      <c r="A60" s="34"/>
      <c r="B60" s="34"/>
      <c r="C60" s="40"/>
      <c r="D60" s="40"/>
      <c r="E60" s="40"/>
      <c r="F60" s="34"/>
    </row>
    <row r="61" spans="1:6" x14ac:dyDescent="0.2">
      <c r="A61" s="36" t="s">
        <v>213</v>
      </c>
      <c r="B61" s="35" t="s">
        <v>214</v>
      </c>
      <c r="C61" s="39" t="s">
        <v>20</v>
      </c>
      <c r="D61" s="39" t="s">
        <v>20</v>
      </c>
      <c r="E61" s="39" t="s">
        <v>21</v>
      </c>
      <c r="F61" s="34"/>
    </row>
    <row r="62" spans="1:6" x14ac:dyDescent="0.2">
      <c r="A62" s="34"/>
      <c r="B62" s="35" t="s">
        <v>215</v>
      </c>
      <c r="C62" s="39" t="s">
        <v>182</v>
      </c>
      <c r="D62" s="39" t="s">
        <v>216</v>
      </c>
      <c r="E62" s="39" t="s">
        <v>217</v>
      </c>
      <c r="F62" s="34"/>
    </row>
    <row r="63" spans="1:6" x14ac:dyDescent="0.2">
      <c r="A63" s="34"/>
      <c r="B63" s="35" t="s">
        <v>218</v>
      </c>
      <c r="C63" s="39" t="s">
        <v>185</v>
      </c>
      <c r="D63" s="45" t="s">
        <v>219</v>
      </c>
      <c r="E63" s="39" t="s">
        <v>220</v>
      </c>
      <c r="F63" s="34"/>
    </row>
    <row r="64" spans="1:6" x14ac:dyDescent="0.2">
      <c r="A64" s="34"/>
      <c r="B64" s="35" t="s">
        <v>221</v>
      </c>
      <c r="C64" s="39" t="s">
        <v>190</v>
      </c>
      <c r="D64" s="39" t="s">
        <v>222</v>
      </c>
      <c r="E64" s="39" t="s">
        <v>223</v>
      </c>
      <c r="F64" s="34"/>
    </row>
    <row r="65" spans="1:6" x14ac:dyDescent="0.2">
      <c r="A65" s="34"/>
      <c r="B65" s="35" t="s">
        <v>224</v>
      </c>
      <c r="C65" s="39" t="s">
        <v>193</v>
      </c>
      <c r="D65" s="39" t="s">
        <v>225</v>
      </c>
      <c r="E65" s="39" t="s">
        <v>226</v>
      </c>
      <c r="F65" s="34"/>
    </row>
    <row r="66" spans="1:6" x14ac:dyDescent="0.2">
      <c r="A66" s="34"/>
      <c r="B66" s="35" t="s">
        <v>227</v>
      </c>
      <c r="C66" s="39" t="s">
        <v>199</v>
      </c>
      <c r="D66" s="39" t="s">
        <v>228</v>
      </c>
      <c r="E66" s="39" t="s">
        <v>229</v>
      </c>
      <c r="F66" s="34"/>
    </row>
    <row r="67" spans="1:6" x14ac:dyDescent="0.2">
      <c r="A67" s="34"/>
      <c r="B67" s="35" t="s">
        <v>230</v>
      </c>
      <c r="C67" s="39" t="s">
        <v>209</v>
      </c>
      <c r="D67" s="39" t="s">
        <v>231</v>
      </c>
      <c r="E67" s="39" t="s">
        <v>232</v>
      </c>
      <c r="F67" s="34"/>
    </row>
    <row r="68" spans="1:6" x14ac:dyDescent="0.2">
      <c r="A68" s="34"/>
      <c r="B68" s="35" t="s">
        <v>233</v>
      </c>
      <c r="C68" s="39" t="s">
        <v>183</v>
      </c>
      <c r="D68" s="39" t="s">
        <v>234</v>
      </c>
      <c r="E68" s="39" t="s">
        <v>235</v>
      </c>
      <c r="F68" s="34"/>
    </row>
    <row r="69" spans="1:6" x14ac:dyDescent="0.2">
      <c r="A69" s="34"/>
      <c r="B69" s="35" t="s">
        <v>236</v>
      </c>
      <c r="C69" s="39" t="s">
        <v>184</v>
      </c>
      <c r="D69" s="39" t="s">
        <v>237</v>
      </c>
      <c r="E69" s="39" t="s">
        <v>238</v>
      </c>
      <c r="F69" s="34"/>
    </row>
    <row r="70" spans="1:6" x14ac:dyDescent="0.2">
      <c r="A70" s="34"/>
      <c r="B70" s="35" t="s">
        <v>239</v>
      </c>
      <c r="C70" s="41" t="s">
        <v>186</v>
      </c>
      <c r="D70" s="39" t="s">
        <v>186</v>
      </c>
      <c r="E70" s="39" t="s">
        <v>186</v>
      </c>
      <c r="F70" s="34"/>
    </row>
    <row r="71" spans="1:6" x14ac:dyDescent="0.2">
      <c r="A71" s="34"/>
      <c r="B71" s="35" t="s">
        <v>240</v>
      </c>
      <c r="C71" s="39" t="s">
        <v>187</v>
      </c>
      <c r="D71" s="39" t="s">
        <v>187</v>
      </c>
      <c r="E71" s="39" t="s">
        <v>187</v>
      </c>
      <c r="F71" s="34"/>
    </row>
    <row r="72" spans="1:6" x14ac:dyDescent="0.2">
      <c r="A72" s="34"/>
      <c r="B72" s="35" t="s">
        <v>241</v>
      </c>
      <c r="C72" s="39" t="s">
        <v>188</v>
      </c>
      <c r="D72" s="39" t="s">
        <v>188</v>
      </c>
      <c r="E72" s="39" t="s">
        <v>188</v>
      </c>
      <c r="F72" s="34"/>
    </row>
    <row r="73" spans="1:6" x14ac:dyDescent="0.2">
      <c r="A73" s="34"/>
      <c r="B73" s="35" t="s">
        <v>242</v>
      </c>
      <c r="C73" s="39" t="s">
        <v>189</v>
      </c>
      <c r="D73" s="39" t="s">
        <v>243</v>
      </c>
      <c r="E73" s="39" t="s">
        <v>244</v>
      </c>
      <c r="F73" s="34"/>
    </row>
    <row r="74" spans="1:6" x14ac:dyDescent="0.2">
      <c r="A74" s="34"/>
      <c r="B74" s="35" t="s">
        <v>245</v>
      </c>
      <c r="C74" s="41" t="s">
        <v>191</v>
      </c>
      <c r="D74" s="39" t="s">
        <v>246</v>
      </c>
      <c r="E74" s="39" t="s">
        <v>247</v>
      </c>
      <c r="F74" s="34"/>
    </row>
    <row r="75" spans="1:6" x14ac:dyDescent="0.2">
      <c r="A75" s="34"/>
      <c r="B75" s="35" t="s">
        <v>248</v>
      </c>
      <c r="C75" s="41" t="s">
        <v>338</v>
      </c>
      <c r="D75" s="39" t="s">
        <v>339</v>
      </c>
      <c r="E75" s="39" t="s">
        <v>249</v>
      </c>
      <c r="F75" s="34"/>
    </row>
    <row r="76" spans="1:6" x14ac:dyDescent="0.2">
      <c r="A76" s="34"/>
      <c r="B76" s="35" t="s">
        <v>250</v>
      </c>
      <c r="C76" s="41" t="s">
        <v>251</v>
      </c>
      <c r="D76" s="39" t="s">
        <v>252</v>
      </c>
      <c r="E76" s="39" t="s">
        <v>253</v>
      </c>
      <c r="F76" s="34"/>
    </row>
    <row r="77" spans="1:6" x14ac:dyDescent="0.2">
      <c r="A77" s="34"/>
      <c r="B77" s="35" t="s">
        <v>254</v>
      </c>
      <c r="C77" s="41" t="s">
        <v>255</v>
      </c>
      <c r="D77" s="39" t="s">
        <v>256</v>
      </c>
      <c r="E77" s="39" t="s">
        <v>257</v>
      </c>
      <c r="F77" s="34"/>
    </row>
    <row r="78" spans="1:6" x14ac:dyDescent="0.2">
      <c r="A78" s="34"/>
      <c r="B78" s="35" t="s">
        <v>258</v>
      </c>
      <c r="C78" s="41" t="s">
        <v>192</v>
      </c>
      <c r="D78" s="39" t="s">
        <v>259</v>
      </c>
      <c r="E78" s="39" t="s">
        <v>260</v>
      </c>
      <c r="F78" s="34"/>
    </row>
    <row r="79" spans="1:6" x14ac:dyDescent="0.2">
      <c r="A79" s="34"/>
      <c r="B79" s="35" t="s">
        <v>261</v>
      </c>
      <c r="C79" s="41" t="s">
        <v>194</v>
      </c>
      <c r="D79" s="39" t="s">
        <v>262</v>
      </c>
      <c r="E79" s="39" t="s">
        <v>263</v>
      </c>
      <c r="F79" s="34"/>
    </row>
    <row r="80" spans="1:6" x14ac:dyDescent="0.2">
      <c r="A80" s="34"/>
      <c r="B80" s="35" t="s">
        <v>264</v>
      </c>
      <c r="C80" s="41" t="s">
        <v>195</v>
      </c>
      <c r="D80" s="39" t="s">
        <v>265</v>
      </c>
      <c r="E80" s="39" t="s">
        <v>266</v>
      </c>
      <c r="F80" s="34"/>
    </row>
    <row r="81" spans="1:6" x14ac:dyDescent="0.2">
      <c r="A81" s="34"/>
      <c r="B81" s="35" t="s">
        <v>267</v>
      </c>
      <c r="C81" s="41" t="s">
        <v>196</v>
      </c>
      <c r="D81" s="39" t="s">
        <v>268</v>
      </c>
      <c r="E81" s="39" t="s">
        <v>269</v>
      </c>
      <c r="F81" s="34"/>
    </row>
    <row r="82" spans="1:6" x14ac:dyDescent="0.2">
      <c r="A82" s="34"/>
      <c r="B82" s="35" t="s">
        <v>270</v>
      </c>
      <c r="C82" s="41" t="s">
        <v>197</v>
      </c>
      <c r="D82" s="39" t="s">
        <v>271</v>
      </c>
      <c r="E82" s="39" t="s">
        <v>272</v>
      </c>
      <c r="F82" s="34"/>
    </row>
    <row r="83" spans="1:6" x14ac:dyDescent="0.2">
      <c r="A83" s="34"/>
      <c r="B83" s="35" t="s">
        <v>273</v>
      </c>
      <c r="C83" s="41" t="s">
        <v>198</v>
      </c>
      <c r="D83" s="39" t="s">
        <v>274</v>
      </c>
      <c r="E83" s="39" t="s">
        <v>275</v>
      </c>
      <c r="F83" s="34"/>
    </row>
    <row r="84" spans="1:6" x14ac:dyDescent="0.2">
      <c r="A84" s="34"/>
      <c r="B84" s="35" t="s">
        <v>276</v>
      </c>
      <c r="C84" s="41" t="s">
        <v>200</v>
      </c>
      <c r="D84" s="39" t="s">
        <v>277</v>
      </c>
      <c r="E84" s="39" t="s">
        <v>278</v>
      </c>
      <c r="F84" s="34"/>
    </row>
    <row r="85" spans="1:6" x14ac:dyDescent="0.2">
      <c r="A85" s="34"/>
      <c r="B85" s="35" t="s">
        <v>279</v>
      </c>
      <c r="C85" s="41" t="s">
        <v>201</v>
      </c>
      <c r="D85" s="39" t="s">
        <v>280</v>
      </c>
      <c r="E85" s="39" t="s">
        <v>281</v>
      </c>
      <c r="F85" s="34"/>
    </row>
    <row r="86" spans="1:6" x14ac:dyDescent="0.2">
      <c r="A86" s="34"/>
      <c r="B86" s="35" t="s">
        <v>282</v>
      </c>
      <c r="C86" s="41" t="s">
        <v>202</v>
      </c>
      <c r="D86" s="39" t="s">
        <v>283</v>
      </c>
      <c r="E86" s="39" t="s">
        <v>284</v>
      </c>
      <c r="F86" s="34"/>
    </row>
    <row r="87" spans="1:6" x14ac:dyDescent="0.2">
      <c r="A87" s="34"/>
      <c r="B87" s="35" t="s">
        <v>285</v>
      </c>
      <c r="C87" s="41" t="s">
        <v>203</v>
      </c>
      <c r="D87" s="39" t="s">
        <v>286</v>
      </c>
      <c r="E87" s="39" t="s">
        <v>287</v>
      </c>
      <c r="F87" s="34"/>
    </row>
    <row r="88" spans="1:6" x14ac:dyDescent="0.2">
      <c r="A88" s="34"/>
      <c r="B88" s="35" t="s">
        <v>288</v>
      </c>
      <c r="C88" s="41" t="s">
        <v>204</v>
      </c>
      <c r="D88" s="39" t="s">
        <v>289</v>
      </c>
      <c r="E88" s="39" t="s">
        <v>290</v>
      </c>
      <c r="F88" s="34"/>
    </row>
    <row r="89" spans="1:6" x14ac:dyDescent="0.2">
      <c r="A89" s="34"/>
      <c r="B89" s="35" t="s">
        <v>291</v>
      </c>
      <c r="C89" s="41" t="s">
        <v>205</v>
      </c>
      <c r="D89" s="39" t="s">
        <v>292</v>
      </c>
      <c r="E89" s="39" t="s">
        <v>293</v>
      </c>
      <c r="F89" s="34"/>
    </row>
    <row r="90" spans="1:6" x14ac:dyDescent="0.2">
      <c r="A90" s="34"/>
      <c r="B90" s="35" t="s">
        <v>294</v>
      </c>
      <c r="C90" s="41" t="s">
        <v>206</v>
      </c>
      <c r="D90" s="39" t="s">
        <v>295</v>
      </c>
      <c r="E90" s="39" t="s">
        <v>296</v>
      </c>
      <c r="F90" s="34"/>
    </row>
    <row r="91" spans="1:6" x14ac:dyDescent="0.2">
      <c r="A91" s="34"/>
      <c r="B91" s="35" t="s">
        <v>297</v>
      </c>
      <c r="C91" s="41" t="s">
        <v>298</v>
      </c>
      <c r="D91" s="39" t="s">
        <v>299</v>
      </c>
      <c r="E91" s="39" t="s">
        <v>300</v>
      </c>
      <c r="F91" s="34"/>
    </row>
    <row r="92" spans="1:6" ht="25.5" x14ac:dyDescent="0.2">
      <c r="A92" s="34"/>
      <c r="B92" s="35" t="s">
        <v>301</v>
      </c>
      <c r="C92" s="41" t="s">
        <v>207</v>
      </c>
      <c r="D92" s="39" t="s">
        <v>302</v>
      </c>
      <c r="E92" s="39" t="s">
        <v>303</v>
      </c>
      <c r="F92" s="34"/>
    </row>
    <row r="93" spans="1:6" ht="38.25" x14ac:dyDescent="0.2">
      <c r="A93" s="34"/>
      <c r="B93" s="35" t="s">
        <v>304</v>
      </c>
      <c r="C93" s="41" t="s">
        <v>305</v>
      </c>
      <c r="D93" s="39" t="s">
        <v>306</v>
      </c>
      <c r="E93" s="39" t="s">
        <v>307</v>
      </c>
      <c r="F93" s="34"/>
    </row>
    <row r="94" spans="1:6" ht="25.5" x14ac:dyDescent="0.2">
      <c r="A94" s="34"/>
      <c r="B94" s="35" t="s">
        <v>308</v>
      </c>
      <c r="C94" s="41" t="s">
        <v>208</v>
      </c>
      <c r="D94" s="39" t="s">
        <v>309</v>
      </c>
      <c r="E94" s="39" t="s">
        <v>310</v>
      </c>
      <c r="F94" s="34"/>
    </row>
    <row r="95" spans="1:6" x14ac:dyDescent="0.2">
      <c r="A95" s="34"/>
      <c r="B95" s="35" t="s">
        <v>311</v>
      </c>
      <c r="C95" s="41" t="s">
        <v>312</v>
      </c>
      <c r="D95" s="39" t="s">
        <v>313</v>
      </c>
      <c r="E95" s="39" t="s">
        <v>314</v>
      </c>
      <c r="F95" s="34"/>
    </row>
    <row r="96" spans="1:6" x14ac:dyDescent="0.2">
      <c r="A96" s="34"/>
      <c r="B96" s="35" t="s">
        <v>315</v>
      </c>
      <c r="C96" s="41" t="s">
        <v>210</v>
      </c>
      <c r="D96" s="39" t="s">
        <v>316</v>
      </c>
      <c r="E96" s="39" t="s">
        <v>317</v>
      </c>
      <c r="F96" s="34"/>
    </row>
    <row r="97" spans="1:6" x14ac:dyDescent="0.2">
      <c r="A97" s="34"/>
      <c r="B97" s="35" t="s">
        <v>318</v>
      </c>
      <c r="C97" s="41" t="s">
        <v>211</v>
      </c>
      <c r="D97" s="39" t="s">
        <v>319</v>
      </c>
      <c r="E97" s="39" t="s">
        <v>320</v>
      </c>
      <c r="F97" s="34"/>
    </row>
    <row r="98" spans="1:6" x14ac:dyDescent="0.2">
      <c r="A98" s="34"/>
      <c r="C98" s="41"/>
      <c r="F98" s="34"/>
    </row>
    <row r="99" spans="1:6" x14ac:dyDescent="0.2">
      <c r="A99" s="34"/>
      <c r="C99" s="35"/>
      <c r="F99" s="34"/>
    </row>
    <row r="100" spans="1:6" x14ac:dyDescent="0.2">
      <c r="A100" s="34"/>
      <c r="B100" s="34"/>
      <c r="C100" s="40"/>
      <c r="D100" s="40"/>
      <c r="E100" s="34"/>
      <c r="F100" s="34"/>
    </row>
    <row r="101" spans="1:6" x14ac:dyDescent="0.2">
      <c r="A101" s="34" t="s">
        <v>213</v>
      </c>
      <c r="B101" s="43" t="s">
        <v>322</v>
      </c>
      <c r="C101" s="44" t="s">
        <v>335</v>
      </c>
      <c r="D101" s="44" t="s">
        <v>336</v>
      </c>
      <c r="E101" s="44" t="s">
        <v>337</v>
      </c>
      <c r="F101" s="34"/>
    </row>
    <row r="102" spans="1:6" x14ac:dyDescent="0.2">
      <c r="A102" s="34"/>
      <c r="B102" s="34"/>
      <c r="C102" s="40"/>
      <c r="D102" s="40"/>
      <c r="E102" s="34"/>
      <c r="F102" s="34"/>
    </row>
    <row r="103" spans="1:6" x14ac:dyDescent="0.2">
      <c r="C103" s="35"/>
      <c r="D103" s="35"/>
      <c r="E103" s="35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8D26AD4D433F842B31B8F2E11C3D7DD" ma:contentTypeVersion="6" ma:contentTypeDescription="Ein neues Dokument erstellen." ma:contentTypeScope="" ma:versionID="fc86b419a5312ef30388d69da23aeff4">
  <xsd:schema xmlns:xsd="http://www.w3.org/2001/XMLSchema" xmlns:xs="http://www.w3.org/2001/XMLSchema" xmlns:p="http://schemas.microsoft.com/office/2006/metadata/properties" xmlns:ns1="http://schemas.microsoft.com/sharepoint/v3" xmlns:ns2="e8a48d95-b6dc-46ea-8dee-11ddfc24d8d8" targetNamespace="http://schemas.microsoft.com/office/2006/metadata/properties" ma:root="true" ma:fieldsID="c8472c40e3417b7de721acd23c96858c" ns1:_="" ns2:_="">
    <xsd:import namespace="http://schemas.microsoft.com/sharepoint/v3"/>
    <xsd:import namespace="e8a48d95-b6dc-46ea-8dee-11ddfc24d8d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itel_DE" minOccurs="0"/>
                <xsd:element ref="ns2:Titel_RM" minOccurs="0"/>
                <xsd:element ref="ns2:Titel_IT" minOccurs="0"/>
                <xsd:element ref="ns2:Kategorie" minOccurs="0"/>
                <xsd:element ref="ns2:Benutzerdefinierte_x0020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a48d95-b6dc-46ea-8dee-11ddfc24d8d8" elementFormDefault="qualified">
    <xsd:import namespace="http://schemas.microsoft.com/office/2006/documentManagement/types"/>
    <xsd:import namespace="http://schemas.microsoft.com/office/infopath/2007/PartnerControls"/>
    <xsd:element name="Titel_DE" ma:index="10" nillable="true" ma:displayName="Titel_DE" ma:internalName="Titel_DE">
      <xsd:simpleType>
        <xsd:restriction base="dms:Text">
          <xsd:maxLength value="255"/>
        </xsd:restriction>
      </xsd:simpleType>
    </xsd:element>
    <xsd:element name="Titel_RM" ma:index="11" nillable="true" ma:displayName="Titel_RM" ma:internalName="Titel_RM">
      <xsd:simpleType>
        <xsd:restriction base="dms:Text">
          <xsd:maxLength value="255"/>
        </xsd:restriction>
      </xsd:simpleType>
    </xsd:element>
    <xsd:element name="Titel_IT" ma:index="12" nillable="true" ma:displayName="Titel_IT" ma:internalName="Titel_IT">
      <xsd:simpleType>
        <xsd:restriction base="dms:Text">
          <xsd:maxLength value="255"/>
        </xsd:restriction>
      </xsd:simpleType>
    </xsd:element>
    <xsd:element name="Kategorie" ma:index="13" nillable="true" ma:displayName="Kategorie" ma:internalName="Kategorie">
      <xsd:simpleType>
        <xsd:restriction base="dms:Text">
          <xsd:maxLength value="255"/>
        </xsd:restriction>
      </xsd:simpleType>
    </xsd:element>
    <xsd:element name="Benutzerdefinierte_x0020_ID" ma:index="14" nillable="true" ma:displayName="Benutzerdefinierte ID" ma:internalName="Benutzerdefinierte_x0020_ID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ategorie xmlns="e8a48d95-b6dc-46ea-8dee-11ddfc24d8d8">Erwerbstätigkeit</Kategorie>
    <Benutzerdefinierte_x0020_ID xmlns="e8a48d95-b6dc-46ea-8dee-11ddfc24d8d8">1002</Benutzerdefinierte_x0020_ID>
    <Titel_IT xmlns="e8a48d95-b6dc-46ea-8dee-11ddfc24d8d8">Condizione lavorativa nei Grigioni e in Svizzera, 2023</Titel_IT>
    <Titel_RM xmlns="e8a48d95-b6dc-46ea-8dee-11ddfc24d8d8">Status dal martgà da lavur grischun e svizzer, 2023</Titel_RM>
    <Titel_DE xmlns="e8a48d95-b6dc-46ea-8dee-11ddfc24d8d8">Arbeitsmarktstatus Graubünden und Schweiz, 2023</Titel_DE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4F3891F-50B0-4A73-BD46-4575F02CB4CB}"/>
</file>

<file path=customXml/itemProps2.xml><?xml version="1.0" encoding="utf-8"?>
<ds:datastoreItem xmlns:ds="http://schemas.openxmlformats.org/officeDocument/2006/customXml" ds:itemID="{1B35752C-FDFF-40C7-B15C-F7F421EDD767}"/>
</file>

<file path=customXml/itemProps3.xml><?xml version="1.0" encoding="utf-8"?>
<ds:datastoreItem xmlns:ds="http://schemas.openxmlformats.org/officeDocument/2006/customXml" ds:itemID="{BF525B13-2656-4087-A1CD-53E9D23EAD0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Schweiz</vt:lpstr>
      <vt:lpstr>Graubünden</vt:lpstr>
      <vt:lpstr>Uebersetzungen</vt:lpstr>
    </vt:vector>
  </TitlesOfParts>
  <Manager/>
  <Company>Kantonale Verwaltung Graubünden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Arbeitsmarktstatus Graubünden und Schweiz</dc:title>
  <dc:subject/>
  <dc:creator>Luzius.Stricker@awt.gr.ch</dc:creator>
  <cp:keywords/>
  <dc:description/>
  <cp:lastModifiedBy>Stricker Luzius</cp:lastModifiedBy>
  <cp:revision/>
  <dcterms:created xsi:type="dcterms:W3CDTF">2017-05-04T09:10:20Z</dcterms:created>
  <dcterms:modified xsi:type="dcterms:W3CDTF">2025-04-07T06:16:14Z</dcterms:modified>
  <cp:category>Strukturerhebung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0x01010028D26AD4D433F842B31B8F2E11C3D7DD</vt:lpwstr>
  </property>
</Properties>
</file>